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istorical Ecology\Projects-Research\Flood Control 2.0\Research\Economics Analysis\4_Report\"/>
    </mc:Choice>
  </mc:AlternateContent>
  <bookViews>
    <workbookView xWindow="12015" yWindow="885" windowWidth="27960" windowHeight="16995" tabRatio="828"/>
  </bookViews>
  <sheets>
    <sheet name="Project_Assumptions" sheetId="24" r:id="rId1"/>
    <sheet name="Alternatives_Assumptions" sheetId="1" r:id="rId2"/>
    <sheet name="Benefits_FloodRisk" sheetId="26" r:id="rId3"/>
    <sheet name="Benefits_Rec" sheetId="18" r:id="rId4"/>
    <sheet name="Benefits_Env_Other" sheetId="19" r:id="rId5"/>
    <sheet name="Costs_O_and_M" sheetId="17" r:id="rId6"/>
    <sheet name="Costs_Capital" sheetId="11" r:id="rId7"/>
    <sheet name="BCA_Summary" sheetId="14" r:id="rId8"/>
  </sheets>
  <definedNames>
    <definedName name="NPVHi_CapCost_Alt0" localSheetId="2">Benefits_FloodRisk!#REF!</definedName>
    <definedName name="NPVHi_CapCost_Alt0">Costs_Capital!$F$17:$F$101</definedName>
    <definedName name="NPVHi_CapCost_Alt1" localSheetId="2">Benefits_FloodRisk!#REF!</definedName>
    <definedName name="NPVHi_CapCost_Alt1">Costs_Capital!$L$17:$L$101</definedName>
    <definedName name="NPVHi_CapCost_Alt2" localSheetId="2">Benefits_FloodRisk!#REF!</definedName>
    <definedName name="NPVHi_CapCost_Alt2">Costs_Capital!$R$17:$R$101</definedName>
    <definedName name="NPVHi_OpCost_Alt0">Costs_O_and_M!#REF!</definedName>
    <definedName name="NPVHi_OpCost_Alt1">Costs_O_and_M!#REF!</definedName>
    <definedName name="NPVHi_OpCost_Alt2">Costs_O_and_M!#REF!</definedName>
    <definedName name="NPVLow_CapCost_Alt0" localSheetId="2">Benefits_FloodRisk!#REF!</definedName>
    <definedName name="NPVLow_CapCost_Alt0">Costs_Capital!$D$17:$D$101</definedName>
    <definedName name="NPVLow_CapCost_Alt1" localSheetId="2">Benefits_FloodRisk!#REF!</definedName>
    <definedName name="NPVLow_CapCost_Alt1">Costs_Capital!$J$17:$J$101</definedName>
    <definedName name="NPVLow_CapCost_Alt2" localSheetId="2">Benefits_FloodRisk!#REF!</definedName>
    <definedName name="NPVLow_CapCost_Alt2">Costs_Capital!$P$17:$P$101</definedName>
    <definedName name="NPVLow_OpCost_Alt0">Costs_O_and_M!#REF!</definedName>
    <definedName name="NPVLow_OpCost_Alt1">Costs_O_and_M!#REF!</definedName>
    <definedName name="NPVLow_OpCost_Alt2">Costs_O_and_M!#REF!</definedName>
    <definedName name="NPVMid_CapCost_Alt0" localSheetId="2">Benefits_FloodRisk!#REF!</definedName>
    <definedName name="NPVMid_CapCost_Alt0">Costs_Capital!$E$17:$E$101</definedName>
    <definedName name="NPVMid_CapCost_Alt1" localSheetId="2">Benefits_FloodRisk!#REF!</definedName>
    <definedName name="NPVMid_CapCost_Alt1">Costs_Capital!$K$17:$K$101</definedName>
    <definedName name="NPVMid_CapCost_Alt2" localSheetId="2">Benefits_FloodRisk!#REF!</definedName>
    <definedName name="NPVMid_CapCost_Alt2">Costs_Capital!$Q$17:$Q$101</definedName>
    <definedName name="NPVMid_OpCost_Alt0">Costs_O_and_M!#REF!</definedName>
    <definedName name="NPVMid_OpCost_Alt1">Costs_O_and_M!#REF!</definedName>
    <definedName name="NPVMid_OpCost_Alt2">Costs_O_and_M!#REF!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26" l="1"/>
  <c r="C16" i="26"/>
  <c r="E37" i="26"/>
  <c r="C38" i="26"/>
  <c r="C39" i="26"/>
  <c r="E39" i="26" s="1"/>
  <c r="D23" i="26"/>
  <c r="D24" i="26" s="1"/>
  <c r="D25" i="26"/>
  <c r="D26" i="26" s="1"/>
  <c r="D29" i="26"/>
  <c r="D8" i="26" s="1"/>
  <c r="E8" i="26" s="1"/>
  <c r="D30" i="26"/>
  <c r="D9" i="26" s="1"/>
  <c r="D31" i="26"/>
  <c r="D10" i="26" s="1"/>
  <c r="D32" i="26"/>
  <c r="D11" i="26" s="1"/>
  <c r="D33" i="26"/>
  <c r="D12" i="26" s="1"/>
  <c r="E12" i="26" s="1"/>
  <c r="D13" i="26"/>
  <c r="B8" i="19"/>
  <c r="E14" i="26"/>
  <c r="C8" i="26"/>
  <c r="C12" i="26"/>
  <c r="C14" i="26"/>
  <c r="C6" i="24"/>
  <c r="B3" i="26" s="1"/>
  <c r="D18" i="26"/>
  <c r="F33" i="19"/>
  <c r="F30" i="19"/>
  <c r="F29" i="19"/>
  <c r="F28" i="19"/>
  <c r="F25" i="19"/>
  <c r="F22" i="19"/>
  <c r="F21" i="19"/>
  <c r="F20" i="19"/>
  <c r="F17" i="19"/>
  <c r="F14" i="19"/>
  <c r="F13" i="19"/>
  <c r="F12" i="19"/>
  <c r="B54" i="18"/>
  <c r="B53" i="18"/>
  <c r="D7" i="18"/>
  <c r="D10" i="18" s="1"/>
  <c r="K41" i="1"/>
  <c r="K42" i="1"/>
  <c r="L42" i="1" s="1"/>
  <c r="K43" i="1"/>
  <c r="K44" i="1"/>
  <c r="K45" i="1"/>
  <c r="K46" i="1"/>
  <c r="J46" i="1"/>
  <c r="I46" i="1"/>
  <c r="H46" i="1"/>
  <c r="E41" i="1"/>
  <c r="E42" i="1"/>
  <c r="E43" i="1"/>
  <c r="E44" i="1"/>
  <c r="E45" i="1"/>
  <c r="L45" i="1" s="1"/>
  <c r="D46" i="1"/>
  <c r="C46" i="1"/>
  <c r="B46" i="1"/>
  <c r="L44" i="1"/>
  <c r="L43" i="1"/>
  <c r="H1" i="19"/>
  <c r="M2" i="19"/>
  <c r="F6" i="19"/>
  <c r="F2" i="19"/>
  <c r="B29" i="19" s="1"/>
  <c r="F4" i="19"/>
  <c r="F3" i="19"/>
  <c r="C33" i="19" s="1"/>
  <c r="F5" i="19"/>
  <c r="E33" i="19"/>
  <c r="S7" i="19"/>
  <c r="S8" i="19" s="1"/>
  <c r="X7" i="19"/>
  <c r="X8" i="19"/>
  <c r="X9" i="19" s="1"/>
  <c r="X10" i="19" s="1"/>
  <c r="X11" i="19" s="1"/>
  <c r="X12" i="19" s="1"/>
  <c r="X13" i="19" s="1"/>
  <c r="X14" i="19" s="1"/>
  <c r="X15" i="19" s="1"/>
  <c r="S9" i="19"/>
  <c r="T10" i="19"/>
  <c r="T11" i="19"/>
  <c r="T12" i="19"/>
  <c r="T13" i="19"/>
  <c r="T14" i="19" s="1"/>
  <c r="B20" i="19"/>
  <c r="C20" i="19"/>
  <c r="D20" i="19"/>
  <c r="E20" i="19"/>
  <c r="G20" i="19"/>
  <c r="B21" i="19"/>
  <c r="C21" i="19"/>
  <c r="D21" i="19"/>
  <c r="E21" i="19"/>
  <c r="G21" i="19"/>
  <c r="B22" i="19"/>
  <c r="C22" i="19"/>
  <c r="D22" i="19"/>
  <c r="E22" i="19"/>
  <c r="G22" i="19"/>
  <c r="G23" i="19"/>
  <c r="B25" i="19"/>
  <c r="C25" i="19"/>
  <c r="D25" i="19"/>
  <c r="Z8" i="19"/>
  <c r="Z24" i="19"/>
  <c r="Z28" i="19"/>
  <c r="B12" i="19"/>
  <c r="C12" i="19"/>
  <c r="D12" i="19"/>
  <c r="E12" i="19"/>
  <c r="G12" i="19"/>
  <c r="D5" i="19"/>
  <c r="E13" i="19" s="1"/>
  <c r="Y34" i="19"/>
  <c r="P16" i="19"/>
  <c r="P20" i="19"/>
  <c r="P32" i="19"/>
  <c r="Z50" i="19"/>
  <c r="Z46" i="19"/>
  <c r="P54" i="19"/>
  <c r="P51" i="19"/>
  <c r="P50" i="19"/>
  <c r="O50" i="19"/>
  <c r="P47" i="19"/>
  <c r="P46" i="19"/>
  <c r="P43" i="19"/>
  <c r="P42" i="19"/>
  <c r="O42" i="19"/>
  <c r="P39" i="19"/>
  <c r="P38" i="19"/>
  <c r="O10" i="11"/>
  <c r="I10" i="11"/>
  <c r="C18" i="26"/>
  <c r="Q4" i="1"/>
  <c r="Q7" i="1"/>
  <c r="X6" i="11" s="1"/>
  <c r="Q10" i="1"/>
  <c r="Q13" i="1"/>
  <c r="P4" i="1"/>
  <c r="P7" i="1"/>
  <c r="P10" i="1"/>
  <c r="W7" i="11" s="1"/>
  <c r="W107" i="11" s="1"/>
  <c r="P13" i="1"/>
  <c r="O4" i="1"/>
  <c r="O7" i="1"/>
  <c r="V6" i="11" s="1"/>
  <c r="O10" i="1"/>
  <c r="O13" i="1"/>
  <c r="M4" i="1"/>
  <c r="M7" i="1"/>
  <c r="M10" i="1"/>
  <c r="M13" i="1"/>
  <c r="L4" i="1"/>
  <c r="L7" i="1"/>
  <c r="L10" i="1"/>
  <c r="L13" i="1"/>
  <c r="K4" i="1"/>
  <c r="K7" i="1"/>
  <c r="K10" i="1"/>
  <c r="K13" i="1"/>
  <c r="I4" i="1"/>
  <c r="I7" i="1"/>
  <c r="I10" i="1"/>
  <c r="I13" i="1"/>
  <c r="H4" i="1"/>
  <c r="H7" i="1"/>
  <c r="H10" i="1"/>
  <c r="H13" i="1"/>
  <c r="G4" i="1"/>
  <c r="G7" i="1"/>
  <c r="G10" i="1"/>
  <c r="G13" i="1"/>
  <c r="E4" i="1"/>
  <c r="E7" i="1"/>
  <c r="E10" i="1"/>
  <c r="E13" i="1"/>
  <c r="D4" i="1"/>
  <c r="D7" i="1"/>
  <c r="D10" i="1"/>
  <c r="D13" i="1"/>
  <c r="C4" i="1"/>
  <c r="C7" i="1"/>
  <c r="C10" i="1"/>
  <c r="C13" i="1"/>
  <c r="F11" i="17"/>
  <c r="F18" i="17"/>
  <c r="F23" i="17"/>
  <c r="F28" i="17"/>
  <c r="F36" i="17"/>
  <c r="F41" i="17"/>
  <c r="K11" i="17"/>
  <c r="K18" i="17"/>
  <c r="K23" i="17"/>
  <c r="K28" i="17"/>
  <c r="K36" i="17"/>
  <c r="K41" i="17"/>
  <c r="L6" i="17"/>
  <c r="J6" i="17"/>
  <c r="AL6" i="19"/>
  <c r="AM6" i="19" s="1"/>
  <c r="AF6" i="19"/>
  <c r="AL5" i="19"/>
  <c r="AM5" i="19" s="1"/>
  <c r="AF5" i="19"/>
  <c r="AF7" i="19" s="1"/>
  <c r="AL4" i="19"/>
  <c r="AF4" i="19"/>
  <c r="AM4" i="19"/>
  <c r="AL3" i="19"/>
  <c r="AF3" i="19"/>
  <c r="AM3" i="19"/>
  <c r="AL2" i="19"/>
  <c r="AF2" i="19"/>
  <c r="AK7" i="19"/>
  <c r="AJ7" i="19"/>
  <c r="AI7" i="19"/>
  <c r="AE7" i="19"/>
  <c r="AD7" i="19"/>
  <c r="AC7" i="19"/>
  <c r="B12" i="11"/>
  <c r="H12" i="11" s="1"/>
  <c r="X5" i="11"/>
  <c r="N105" i="11"/>
  <c r="X105" i="11" s="1"/>
  <c r="N106" i="11"/>
  <c r="X106" i="11"/>
  <c r="X20" i="11" s="1"/>
  <c r="X7" i="11"/>
  <c r="X8" i="11"/>
  <c r="N109" i="11"/>
  <c r="N108" i="11"/>
  <c r="X108" i="11"/>
  <c r="N107" i="11"/>
  <c r="X107" i="11"/>
  <c r="N110" i="11"/>
  <c r="W5" i="11"/>
  <c r="W105" i="11"/>
  <c r="W6" i="11"/>
  <c r="W9" i="11" s="1"/>
  <c r="W109" i="11" s="1"/>
  <c r="W8" i="11"/>
  <c r="W108" i="11"/>
  <c r="V5" i="11"/>
  <c r="V106" i="11"/>
  <c r="V19" i="11" s="1"/>
  <c r="V7" i="11"/>
  <c r="V107" i="11" s="1"/>
  <c r="V8" i="11"/>
  <c r="V108" i="11"/>
  <c r="V10" i="11"/>
  <c r="V110" i="11" s="1"/>
  <c r="V28" i="11"/>
  <c r="V36" i="11"/>
  <c r="V44" i="11"/>
  <c r="W101" i="11"/>
  <c r="V101" i="11"/>
  <c r="V100" i="11"/>
  <c r="X99" i="11"/>
  <c r="X98" i="11"/>
  <c r="W98" i="11"/>
  <c r="V98" i="11"/>
  <c r="W97" i="11"/>
  <c r="V97" i="11"/>
  <c r="X96" i="11"/>
  <c r="V96" i="11"/>
  <c r="X95" i="11"/>
  <c r="W95" i="11"/>
  <c r="X94" i="11"/>
  <c r="W94" i="11"/>
  <c r="V94" i="11"/>
  <c r="X93" i="11"/>
  <c r="W93" i="11"/>
  <c r="V93" i="11"/>
  <c r="X92" i="11"/>
  <c r="W92" i="11"/>
  <c r="V92" i="11"/>
  <c r="X91" i="11"/>
  <c r="W91" i="11"/>
  <c r="V91" i="11"/>
  <c r="X90" i="11"/>
  <c r="W90" i="11"/>
  <c r="V90" i="11"/>
  <c r="X89" i="11"/>
  <c r="W89" i="11"/>
  <c r="V89" i="11"/>
  <c r="X88" i="11"/>
  <c r="W88" i="11"/>
  <c r="V88" i="11"/>
  <c r="X87" i="11"/>
  <c r="W87" i="11"/>
  <c r="V87" i="11"/>
  <c r="X86" i="11"/>
  <c r="W86" i="11"/>
  <c r="V86" i="11"/>
  <c r="X85" i="11"/>
  <c r="W85" i="11"/>
  <c r="V85" i="11"/>
  <c r="X84" i="11"/>
  <c r="W84" i="11"/>
  <c r="V84" i="11"/>
  <c r="X83" i="11"/>
  <c r="W83" i="11"/>
  <c r="V83" i="11"/>
  <c r="X82" i="11"/>
  <c r="W82" i="11"/>
  <c r="V82" i="11"/>
  <c r="X81" i="11"/>
  <c r="W81" i="11"/>
  <c r="V81" i="11"/>
  <c r="X80" i="11"/>
  <c r="W80" i="11"/>
  <c r="V80" i="11"/>
  <c r="X79" i="11"/>
  <c r="W79" i="11"/>
  <c r="V79" i="11"/>
  <c r="X78" i="11"/>
  <c r="W78" i="11"/>
  <c r="V78" i="11"/>
  <c r="X77" i="11"/>
  <c r="W77" i="11"/>
  <c r="V77" i="11"/>
  <c r="X76" i="11"/>
  <c r="W76" i="11"/>
  <c r="V76" i="11"/>
  <c r="X75" i="11"/>
  <c r="W75" i="11"/>
  <c r="V75" i="11"/>
  <c r="X74" i="11"/>
  <c r="W74" i="11"/>
  <c r="V74" i="11"/>
  <c r="X73" i="11"/>
  <c r="W73" i="11"/>
  <c r="V73" i="11"/>
  <c r="X72" i="11"/>
  <c r="W72" i="11"/>
  <c r="V72" i="11"/>
  <c r="X71" i="11"/>
  <c r="W71" i="11"/>
  <c r="V71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5" i="11"/>
  <c r="W65" i="11"/>
  <c r="V65" i="11"/>
  <c r="X64" i="11"/>
  <c r="W64" i="11"/>
  <c r="V64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8" i="11"/>
  <c r="W58" i="11"/>
  <c r="V58" i="11"/>
  <c r="X57" i="11"/>
  <c r="W57" i="11"/>
  <c r="V57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51" i="11"/>
  <c r="W51" i="11"/>
  <c r="V51" i="11"/>
  <c r="X50" i="11"/>
  <c r="W50" i="11"/>
  <c r="V50" i="11"/>
  <c r="X49" i="11"/>
  <c r="W49" i="11"/>
  <c r="V49" i="11"/>
  <c r="X48" i="11"/>
  <c r="W48" i="11"/>
  <c r="V48" i="11"/>
  <c r="X47" i="11"/>
  <c r="W47" i="11"/>
  <c r="V47" i="11"/>
  <c r="R101" i="11"/>
  <c r="Q101" i="11"/>
  <c r="P101" i="11"/>
  <c r="R100" i="11"/>
  <c r="Q100" i="11"/>
  <c r="P100" i="11"/>
  <c r="R99" i="11"/>
  <c r="Q99" i="11"/>
  <c r="P99" i="11"/>
  <c r="R98" i="11"/>
  <c r="Q98" i="11"/>
  <c r="P98" i="11"/>
  <c r="R97" i="11"/>
  <c r="Q97" i="11"/>
  <c r="P97" i="11"/>
  <c r="R96" i="11"/>
  <c r="Q96" i="11"/>
  <c r="P96" i="11"/>
  <c r="R95" i="11"/>
  <c r="Q95" i="11"/>
  <c r="P95" i="11"/>
  <c r="R94" i="11"/>
  <c r="Q94" i="11"/>
  <c r="P94" i="11"/>
  <c r="R93" i="11"/>
  <c r="Q93" i="11"/>
  <c r="P93" i="11"/>
  <c r="R92" i="11"/>
  <c r="Q92" i="11"/>
  <c r="P92" i="11"/>
  <c r="R91" i="11"/>
  <c r="Q91" i="11"/>
  <c r="P91" i="11"/>
  <c r="R90" i="11"/>
  <c r="Q90" i="11"/>
  <c r="P90" i="11"/>
  <c r="R89" i="11"/>
  <c r="Q89" i="11"/>
  <c r="P89" i="11"/>
  <c r="R88" i="11"/>
  <c r="Q88" i="11"/>
  <c r="P88" i="11"/>
  <c r="R87" i="11"/>
  <c r="Q87" i="11"/>
  <c r="P87" i="11"/>
  <c r="R86" i="11"/>
  <c r="Q86" i="11"/>
  <c r="P86" i="11"/>
  <c r="R85" i="11"/>
  <c r="Q85" i="11"/>
  <c r="P85" i="11"/>
  <c r="R84" i="11"/>
  <c r="Q84" i="11"/>
  <c r="P84" i="11"/>
  <c r="R83" i="11"/>
  <c r="Q83" i="11"/>
  <c r="P83" i="11"/>
  <c r="R82" i="11"/>
  <c r="Q82" i="11"/>
  <c r="P82" i="11"/>
  <c r="R81" i="11"/>
  <c r="Q81" i="11"/>
  <c r="P81" i="11"/>
  <c r="R80" i="11"/>
  <c r="Q80" i="11"/>
  <c r="P80" i="11"/>
  <c r="R79" i="11"/>
  <c r="Q79" i="11"/>
  <c r="P79" i="11"/>
  <c r="R78" i="11"/>
  <c r="Q78" i="11"/>
  <c r="P78" i="11"/>
  <c r="R77" i="11"/>
  <c r="Q77" i="11"/>
  <c r="P77" i="11"/>
  <c r="R76" i="11"/>
  <c r="Q76" i="11"/>
  <c r="P76" i="11"/>
  <c r="R75" i="11"/>
  <c r="Q75" i="11"/>
  <c r="P75" i="11"/>
  <c r="R74" i="11"/>
  <c r="Q74" i="11"/>
  <c r="P74" i="11"/>
  <c r="R73" i="11"/>
  <c r="Q73" i="11"/>
  <c r="P73" i="11"/>
  <c r="R72" i="11"/>
  <c r="Q72" i="11"/>
  <c r="P72" i="11"/>
  <c r="R71" i="11"/>
  <c r="Q71" i="11"/>
  <c r="P71" i="11"/>
  <c r="R70" i="11"/>
  <c r="Q70" i="11"/>
  <c r="P70" i="11"/>
  <c r="R69" i="11"/>
  <c r="Q69" i="11"/>
  <c r="P69" i="11"/>
  <c r="R68" i="11"/>
  <c r="Q68" i="11"/>
  <c r="P68" i="11"/>
  <c r="R67" i="11"/>
  <c r="Q67" i="11"/>
  <c r="P67" i="11"/>
  <c r="R5" i="11"/>
  <c r="R6" i="11"/>
  <c r="R7" i="11"/>
  <c r="R8" i="11"/>
  <c r="R66" i="11"/>
  <c r="Q5" i="11"/>
  <c r="Q6" i="11"/>
  <c r="Q7" i="11"/>
  <c r="Q8" i="11"/>
  <c r="Q66" i="11"/>
  <c r="P5" i="11"/>
  <c r="P6" i="11"/>
  <c r="P7" i="11"/>
  <c r="P8" i="11"/>
  <c r="P10" i="11"/>
  <c r="P110" i="11" s="1"/>
  <c r="P44" i="11" s="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R59" i="11"/>
  <c r="Q59" i="11"/>
  <c r="P59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P40" i="11"/>
  <c r="P36" i="11"/>
  <c r="P24" i="11"/>
  <c r="R106" i="11"/>
  <c r="R107" i="11"/>
  <c r="R108" i="11"/>
  <c r="Q106" i="11"/>
  <c r="Q107" i="11"/>
  <c r="P106" i="11"/>
  <c r="P107" i="11"/>
  <c r="P108" i="11"/>
  <c r="R19" i="11"/>
  <c r="P19" i="11"/>
  <c r="R105" i="11"/>
  <c r="Q105" i="11"/>
  <c r="L101" i="11"/>
  <c r="K101" i="11"/>
  <c r="J101" i="11"/>
  <c r="L100" i="11"/>
  <c r="K100" i="11"/>
  <c r="J100" i="11"/>
  <c r="L99" i="11"/>
  <c r="K99" i="11"/>
  <c r="J99" i="11"/>
  <c r="L98" i="11"/>
  <c r="K98" i="11"/>
  <c r="J98" i="11"/>
  <c r="L97" i="11"/>
  <c r="K97" i="11"/>
  <c r="J97" i="11"/>
  <c r="L96" i="11"/>
  <c r="K96" i="11"/>
  <c r="J96" i="11"/>
  <c r="L95" i="11"/>
  <c r="K95" i="11"/>
  <c r="J95" i="11"/>
  <c r="L94" i="11"/>
  <c r="K94" i="11"/>
  <c r="J94" i="11"/>
  <c r="L93" i="11"/>
  <c r="K93" i="11"/>
  <c r="J93" i="11"/>
  <c r="L92" i="11"/>
  <c r="K92" i="11"/>
  <c r="J92" i="11"/>
  <c r="L91" i="11"/>
  <c r="K91" i="11"/>
  <c r="J91" i="11"/>
  <c r="L90" i="11"/>
  <c r="K90" i="11"/>
  <c r="J90" i="11"/>
  <c r="L89" i="11"/>
  <c r="K89" i="11"/>
  <c r="J89" i="11"/>
  <c r="L88" i="11"/>
  <c r="K88" i="11"/>
  <c r="J88" i="11"/>
  <c r="L87" i="11"/>
  <c r="K87" i="11"/>
  <c r="J87" i="11"/>
  <c r="L86" i="11"/>
  <c r="K86" i="11"/>
  <c r="J86" i="11"/>
  <c r="L85" i="11"/>
  <c r="K85" i="11"/>
  <c r="J85" i="11"/>
  <c r="L84" i="11"/>
  <c r="K84" i="11"/>
  <c r="J84" i="11"/>
  <c r="L83" i="11"/>
  <c r="K83" i="11"/>
  <c r="J83" i="11"/>
  <c r="L82" i="11"/>
  <c r="K82" i="11"/>
  <c r="J82" i="11"/>
  <c r="L81" i="11"/>
  <c r="K81" i="11"/>
  <c r="J81" i="11"/>
  <c r="L80" i="11"/>
  <c r="K80" i="11"/>
  <c r="J80" i="11"/>
  <c r="L79" i="11"/>
  <c r="K79" i="11"/>
  <c r="J79" i="11"/>
  <c r="L78" i="11"/>
  <c r="K78" i="11"/>
  <c r="J78" i="11"/>
  <c r="L77" i="11"/>
  <c r="K77" i="11"/>
  <c r="J77" i="11"/>
  <c r="L76" i="11"/>
  <c r="K76" i="11"/>
  <c r="J76" i="11"/>
  <c r="L75" i="11"/>
  <c r="K75" i="11"/>
  <c r="J75" i="11"/>
  <c r="L74" i="11"/>
  <c r="K74" i="11"/>
  <c r="J74" i="11"/>
  <c r="L73" i="11"/>
  <c r="K73" i="11"/>
  <c r="J73" i="11"/>
  <c r="L72" i="11"/>
  <c r="K72" i="11"/>
  <c r="J72" i="11"/>
  <c r="L71" i="11"/>
  <c r="K71" i="11"/>
  <c r="J71" i="11"/>
  <c r="L70" i="11"/>
  <c r="K70" i="11"/>
  <c r="J70" i="11"/>
  <c r="L69" i="11"/>
  <c r="K69" i="11"/>
  <c r="J69" i="11"/>
  <c r="L68" i="11"/>
  <c r="K68" i="11"/>
  <c r="J68" i="11"/>
  <c r="L67" i="11"/>
  <c r="K67" i="11"/>
  <c r="J67" i="11"/>
  <c r="H110" i="11"/>
  <c r="L5" i="11"/>
  <c r="L6" i="11"/>
  <c r="L7" i="11"/>
  <c r="L8" i="11"/>
  <c r="L66" i="11"/>
  <c r="K5" i="11"/>
  <c r="K6" i="11"/>
  <c r="K7" i="11"/>
  <c r="K8" i="11"/>
  <c r="K9" i="11" s="1"/>
  <c r="K109" i="11" s="1"/>
  <c r="K17" i="11" s="1"/>
  <c r="K66" i="11"/>
  <c r="J5" i="11"/>
  <c r="J9" i="11" s="1"/>
  <c r="J6" i="11"/>
  <c r="J7" i="11"/>
  <c r="J8" i="11"/>
  <c r="J10" i="11"/>
  <c r="J110" i="11" s="1"/>
  <c r="J66" i="11"/>
  <c r="L65" i="11"/>
  <c r="K65" i="11"/>
  <c r="J65" i="11"/>
  <c r="L64" i="11"/>
  <c r="K64" i="11"/>
  <c r="J64" i="11"/>
  <c r="L63" i="11"/>
  <c r="K63" i="11"/>
  <c r="J63" i="11"/>
  <c r="L62" i="11"/>
  <c r="K62" i="11"/>
  <c r="J62" i="11"/>
  <c r="L61" i="11"/>
  <c r="K61" i="11"/>
  <c r="J61" i="11"/>
  <c r="L60" i="11"/>
  <c r="K60" i="11"/>
  <c r="J60" i="11"/>
  <c r="L59" i="11"/>
  <c r="K59" i="11"/>
  <c r="J59" i="11"/>
  <c r="L58" i="11"/>
  <c r="K58" i="11"/>
  <c r="J58" i="11"/>
  <c r="L57" i="11"/>
  <c r="K57" i="11"/>
  <c r="J57" i="11"/>
  <c r="L56" i="11"/>
  <c r="K56" i="11"/>
  <c r="J56" i="11"/>
  <c r="L55" i="11"/>
  <c r="K55" i="11"/>
  <c r="J55" i="11"/>
  <c r="L54" i="11"/>
  <c r="K54" i="11"/>
  <c r="J54" i="11"/>
  <c r="L53" i="11"/>
  <c r="K53" i="11"/>
  <c r="J53" i="11"/>
  <c r="L52" i="11"/>
  <c r="K52" i="11"/>
  <c r="J52" i="11"/>
  <c r="L51" i="11"/>
  <c r="K51" i="11"/>
  <c r="J51" i="11"/>
  <c r="L50" i="11"/>
  <c r="K50" i="11"/>
  <c r="J50" i="11"/>
  <c r="L49" i="11"/>
  <c r="K49" i="11"/>
  <c r="J49" i="11"/>
  <c r="L48" i="11"/>
  <c r="K48" i="11"/>
  <c r="J48" i="11"/>
  <c r="L47" i="11"/>
  <c r="K47" i="11"/>
  <c r="J47" i="11"/>
  <c r="J44" i="11"/>
  <c r="J40" i="11"/>
  <c r="J32" i="11"/>
  <c r="J28" i="11"/>
  <c r="J24" i="11"/>
  <c r="H106" i="11"/>
  <c r="L106" i="11"/>
  <c r="H107" i="11"/>
  <c r="H108" i="11"/>
  <c r="L108" i="11"/>
  <c r="K106" i="11"/>
  <c r="K107" i="11"/>
  <c r="K108" i="11"/>
  <c r="J106" i="11"/>
  <c r="J21" i="11" s="1"/>
  <c r="J107" i="11"/>
  <c r="J108" i="11"/>
  <c r="J20" i="11"/>
  <c r="L9" i="11"/>
  <c r="L109" i="11" s="1"/>
  <c r="H109" i="11"/>
  <c r="J109" i="11"/>
  <c r="J17" i="11" s="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F12" i="11" s="1"/>
  <c r="G12" i="14" s="1"/>
  <c r="E20" i="11"/>
  <c r="D20" i="11"/>
  <c r="F19" i="11"/>
  <c r="E19" i="11"/>
  <c r="E12" i="11" s="1"/>
  <c r="E12" i="14" s="1"/>
  <c r="D19" i="11"/>
  <c r="F18" i="11"/>
  <c r="E18" i="11"/>
  <c r="D18" i="11"/>
  <c r="D12" i="11" s="1"/>
  <c r="C12" i="14" s="1"/>
  <c r="F17" i="11"/>
  <c r="E17" i="11"/>
  <c r="D17" i="11"/>
  <c r="B5" i="14"/>
  <c r="C41" i="26"/>
  <c r="E41" i="26" s="1"/>
  <c r="C40" i="26"/>
  <c r="G37" i="18"/>
  <c r="G44" i="18" s="1"/>
  <c r="G34" i="18"/>
  <c r="C41" i="18"/>
  <c r="D11" i="18"/>
  <c r="C50" i="18"/>
  <c r="D41" i="18"/>
  <c r="D12" i="18"/>
  <c r="D50" i="18" s="1"/>
  <c r="E41" i="18"/>
  <c r="E50" i="18" s="1"/>
  <c r="D13" i="18"/>
  <c r="E18" i="26"/>
  <c r="O5" i="14"/>
  <c r="W5" i="14"/>
  <c r="G28" i="14"/>
  <c r="N5" i="14"/>
  <c r="N28" i="14" s="1"/>
  <c r="V5" i="14"/>
  <c r="F28" i="14"/>
  <c r="M5" i="14"/>
  <c r="U5" i="14"/>
  <c r="E28" i="14"/>
  <c r="L5" i="14"/>
  <c r="T5" i="14"/>
  <c r="D28" i="14"/>
  <c r="K5" i="14"/>
  <c r="S5" i="14"/>
  <c r="C28" i="14"/>
  <c r="J5" i="14"/>
  <c r="J28" i="14" s="1"/>
  <c r="R5" i="14"/>
  <c r="B28" i="14"/>
  <c r="E2" i="17"/>
  <c r="F13" i="11"/>
  <c r="F12" i="14" s="1"/>
  <c r="D13" i="11"/>
  <c r="B12" i="14" s="1"/>
  <c r="F46" i="18"/>
  <c r="F6" i="14" s="1"/>
  <c r="B36" i="18"/>
  <c r="B45" i="18"/>
  <c r="C36" i="18"/>
  <c r="C45" i="18" s="1"/>
  <c r="D36" i="18"/>
  <c r="D45" i="18"/>
  <c r="E36" i="18"/>
  <c r="E45" i="18" s="1"/>
  <c r="F44" i="18"/>
  <c r="B6" i="14" s="1"/>
  <c r="C6" i="14"/>
  <c r="C8" i="14" s="1"/>
  <c r="G5" i="14"/>
  <c r="F5" i="14"/>
  <c r="F8" i="14" s="1"/>
  <c r="E5" i="14"/>
  <c r="D5" i="14"/>
  <c r="C5" i="14"/>
  <c r="A24" i="14"/>
  <c r="Q1" i="14"/>
  <c r="S1" i="11"/>
  <c r="T110" i="11"/>
  <c r="A10" i="11"/>
  <c r="G10" i="11"/>
  <c r="S10" i="11" s="1"/>
  <c r="S110" i="11" s="1"/>
  <c r="T109" i="11"/>
  <c r="A9" i="11"/>
  <c r="M9" i="11" s="1"/>
  <c r="M109" i="11" s="1"/>
  <c r="T108" i="11"/>
  <c r="A8" i="11"/>
  <c r="G8" i="11"/>
  <c r="S8" i="11"/>
  <c r="S108" i="11"/>
  <c r="T107" i="11"/>
  <c r="A7" i="11"/>
  <c r="G7" i="11"/>
  <c r="S7" i="11"/>
  <c r="S107" i="11" s="1"/>
  <c r="T106" i="11"/>
  <c r="A6" i="11"/>
  <c r="G6" i="11"/>
  <c r="S6" i="11" s="1"/>
  <c r="S106" i="11" s="1"/>
  <c r="T105" i="11"/>
  <c r="A5" i="11"/>
  <c r="M5" i="11" s="1"/>
  <c r="M105" i="11" s="1"/>
  <c r="T101" i="11"/>
  <c r="T100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S15" i="11"/>
  <c r="G12" i="11"/>
  <c r="M12" i="11"/>
  <c r="S12" i="11" s="1"/>
  <c r="M1" i="11"/>
  <c r="M15" i="11" s="1"/>
  <c r="O1" i="1"/>
  <c r="K1" i="1"/>
  <c r="E40" i="26"/>
  <c r="E3" i="17"/>
  <c r="M10" i="11"/>
  <c r="M110" i="11" s="1"/>
  <c r="M8" i="11"/>
  <c r="M7" i="11"/>
  <c r="M107" i="11" s="1"/>
  <c r="M6" i="11"/>
  <c r="M106" i="11" s="1"/>
  <c r="B11" i="17"/>
  <c r="C22" i="1"/>
  <c r="C27" i="1"/>
  <c r="D27" i="1"/>
  <c r="C1" i="1"/>
  <c r="D2" i="19"/>
  <c r="B7" i="18"/>
  <c r="E5" i="11"/>
  <c r="E6" i="11"/>
  <c r="E9" i="11" s="1"/>
  <c r="E109" i="11" s="1"/>
  <c r="E7" i="11"/>
  <c r="E107" i="11" s="1"/>
  <c r="E8" i="11"/>
  <c r="B109" i="11"/>
  <c r="B107" i="11"/>
  <c r="B105" i="11"/>
  <c r="E105" i="11"/>
  <c r="E10" i="11"/>
  <c r="E110" i="11" s="1"/>
  <c r="B110" i="11"/>
  <c r="B108" i="11"/>
  <c r="E108" i="11"/>
  <c r="B106" i="11"/>
  <c r="E106" i="11"/>
  <c r="D6" i="19"/>
  <c r="B8" i="14"/>
  <c r="W2" i="19"/>
  <c r="H105" i="11"/>
  <c r="K105" i="11" s="1"/>
  <c r="J105" i="11"/>
  <c r="G1" i="1"/>
  <c r="R1" i="19" s="1"/>
  <c r="D4" i="19"/>
  <c r="D3" i="19"/>
  <c r="L105" i="11"/>
  <c r="F5" i="11"/>
  <c r="F105" i="11" s="1"/>
  <c r="F6" i="11"/>
  <c r="F106" i="11" s="1"/>
  <c r="F7" i="11"/>
  <c r="F8" i="11"/>
  <c r="F107" i="11"/>
  <c r="F108" i="11"/>
  <c r="D5" i="11"/>
  <c r="D105" i="11" s="1"/>
  <c r="D6" i="11"/>
  <c r="D106" i="11" s="1"/>
  <c r="D7" i="11"/>
  <c r="D107" i="11" s="1"/>
  <c r="D8" i="11"/>
  <c r="D108" i="11"/>
  <c r="M108" i="11"/>
  <c r="G108" i="11"/>
  <c r="G107" i="11"/>
  <c r="G106" i="11"/>
  <c r="A106" i="11"/>
  <c r="A107" i="11"/>
  <c r="A108" i="11"/>
  <c r="A110" i="11"/>
  <c r="J2" i="17"/>
  <c r="A18" i="26"/>
  <c r="J3" i="17"/>
  <c r="I45" i="17"/>
  <c r="D45" i="17"/>
  <c r="E6" i="26"/>
  <c r="D6" i="26"/>
  <c r="C6" i="26"/>
  <c r="B18" i="17"/>
  <c r="B23" i="17"/>
  <c r="B28" i="17"/>
  <c r="B36" i="17"/>
  <c r="B41" i="17"/>
  <c r="G1" i="11"/>
  <c r="A1" i="11"/>
  <c r="A15" i="11" s="1"/>
  <c r="I1" i="14"/>
  <c r="G15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61" i="1"/>
  <c r="B60" i="1"/>
  <c r="B59" i="1"/>
  <c r="B43" i="17" l="1"/>
  <c r="G9" i="11"/>
  <c r="A109" i="11"/>
  <c r="F45" i="18"/>
  <c r="D6" i="14" s="1"/>
  <c r="D8" i="14" s="1"/>
  <c r="G5" i="11"/>
  <c r="A105" i="11"/>
  <c r="G110" i="11"/>
  <c r="E13" i="11"/>
  <c r="D12" i="14" s="1"/>
  <c r="M28" i="14"/>
  <c r="K19" i="11"/>
  <c r="K18" i="11"/>
  <c r="N12" i="11"/>
  <c r="E38" i="26"/>
  <c r="E43" i="26" s="1"/>
  <c r="C43" i="26"/>
  <c r="D9" i="11"/>
  <c r="D109" i="11" s="1"/>
  <c r="F9" i="11"/>
  <c r="F109" i="11" s="1"/>
  <c r="J45" i="11"/>
  <c r="J41" i="11"/>
  <c r="J37" i="11"/>
  <c r="J33" i="11"/>
  <c r="J29" i="11"/>
  <c r="J25" i="11"/>
  <c r="J46" i="11"/>
  <c r="J42" i="11"/>
  <c r="J38" i="11"/>
  <c r="J34" i="11"/>
  <c r="J30" i="11"/>
  <c r="J26" i="11"/>
  <c r="J22" i="11"/>
  <c r="J43" i="11"/>
  <c r="J39" i="11"/>
  <c r="J35" i="11"/>
  <c r="J31" i="11"/>
  <c r="J27" i="11"/>
  <c r="J23" i="11"/>
  <c r="K10" i="11"/>
  <c r="K110" i="11" s="1"/>
  <c r="L10" i="11"/>
  <c r="L110" i="11" s="1"/>
  <c r="L107" i="11"/>
  <c r="Q21" i="11"/>
  <c r="P32" i="11"/>
  <c r="Q10" i="11"/>
  <c r="Q110" i="11" s="1"/>
  <c r="Q108" i="11"/>
  <c r="Q9" i="11"/>
  <c r="Q109" i="11" s="1"/>
  <c r="Q17" i="11" s="1"/>
  <c r="O17" i="19"/>
  <c r="Y41" i="19"/>
  <c r="O49" i="19"/>
  <c r="O41" i="19"/>
  <c r="Y18" i="19"/>
  <c r="O21" i="19"/>
  <c r="O54" i="19"/>
  <c r="O46" i="19"/>
  <c r="O38" i="19"/>
  <c r="Y30" i="19"/>
  <c r="O33" i="19"/>
  <c r="Y36" i="19"/>
  <c r="O53" i="19"/>
  <c r="O45" i="19"/>
  <c r="O37" i="19"/>
  <c r="Y7" i="19"/>
  <c r="D29" i="19"/>
  <c r="D33" i="19"/>
  <c r="D30" i="19"/>
  <c r="G45" i="18"/>
  <c r="E6" i="14" s="1"/>
  <c r="E8" i="14" s="1"/>
  <c r="G46" i="18"/>
  <c r="G6" i="14" s="1"/>
  <c r="G8" i="14" s="1"/>
  <c r="R21" i="11"/>
  <c r="R20" i="11"/>
  <c r="AM2" i="19"/>
  <c r="AL7" i="19"/>
  <c r="F43" i="17"/>
  <c r="D10" i="11"/>
  <c r="D110" i="11" s="1"/>
  <c r="F10" i="11"/>
  <c r="F110" i="11" s="1"/>
  <c r="L28" i="14"/>
  <c r="K28" i="14"/>
  <c r="O28" i="14"/>
  <c r="G50" i="18"/>
  <c r="K21" i="11"/>
  <c r="L21" i="11"/>
  <c r="L19" i="11"/>
  <c r="L20" i="11"/>
  <c r="L17" i="11"/>
  <c r="L18" i="11"/>
  <c r="J36" i="11"/>
  <c r="P28" i="11"/>
  <c r="Z9" i="19"/>
  <c r="S10" i="19"/>
  <c r="Y9" i="19"/>
  <c r="P20" i="11"/>
  <c r="P21" i="11"/>
  <c r="P45" i="11"/>
  <c r="P41" i="11"/>
  <c r="P37" i="11"/>
  <c r="P33" i="11"/>
  <c r="P29" i="11"/>
  <c r="P25" i="11"/>
  <c r="P46" i="11"/>
  <c r="P42" i="11"/>
  <c r="P38" i="11"/>
  <c r="P34" i="11"/>
  <c r="P30" i="11"/>
  <c r="P26" i="11"/>
  <c r="P22" i="11"/>
  <c r="P43" i="11"/>
  <c r="P39" i="11"/>
  <c r="P35" i="11"/>
  <c r="P31" i="11"/>
  <c r="P27" i="11"/>
  <c r="P23" i="11"/>
  <c r="P105" i="11"/>
  <c r="P9" i="11"/>
  <c r="P109" i="11" s="1"/>
  <c r="R10" i="11"/>
  <c r="R110" i="11" s="1"/>
  <c r="R9" i="11"/>
  <c r="R109" i="11" s="1"/>
  <c r="V29" i="11"/>
  <c r="V37" i="11"/>
  <c r="V45" i="11"/>
  <c r="V24" i="11"/>
  <c r="V32" i="11"/>
  <c r="V40" i="11"/>
  <c r="V25" i="11"/>
  <c r="V33" i="11"/>
  <c r="V41" i="11"/>
  <c r="Y45" i="19"/>
  <c r="J19" i="11"/>
  <c r="K20" i="11"/>
  <c r="V105" i="11"/>
  <c r="V9" i="11"/>
  <c r="V109" i="11" s="1"/>
  <c r="V18" i="11" s="1"/>
  <c r="K43" i="17"/>
  <c r="C11" i="26"/>
  <c r="E11" i="26"/>
  <c r="E46" i="1"/>
  <c r="L41" i="1"/>
  <c r="C10" i="26"/>
  <c r="E10" i="26"/>
  <c r="D22" i="26"/>
  <c r="D7" i="26" s="1"/>
  <c r="J18" i="11"/>
  <c r="J12" i="11" s="1"/>
  <c r="W106" i="11"/>
  <c r="W18" i="11" s="1"/>
  <c r="W10" i="11"/>
  <c r="W110" i="11" s="1"/>
  <c r="X9" i="11"/>
  <c r="X109" i="11" s="1"/>
  <c r="X18" i="11" s="1"/>
  <c r="X10" i="11"/>
  <c r="X110" i="11" s="1"/>
  <c r="X19" i="11"/>
  <c r="X21" i="11"/>
  <c r="X22" i="11"/>
  <c r="X26" i="11"/>
  <c r="X30" i="11"/>
  <c r="X34" i="11"/>
  <c r="X38" i="11"/>
  <c r="X42" i="11"/>
  <c r="X46" i="11"/>
  <c r="W19" i="11"/>
  <c r="W24" i="11"/>
  <c r="W28" i="11"/>
  <c r="W32" i="11"/>
  <c r="W36" i="11"/>
  <c r="W40" i="11"/>
  <c r="W44" i="11"/>
  <c r="V20" i="11"/>
  <c r="V22" i="11"/>
  <c r="V26" i="11"/>
  <c r="V30" i="11"/>
  <c r="V34" i="11"/>
  <c r="V38" i="11"/>
  <c r="V42" i="11"/>
  <c r="V46" i="11"/>
  <c r="X100" i="11"/>
  <c r="W99" i="11"/>
  <c r="X23" i="11"/>
  <c r="X27" i="11"/>
  <c r="X31" i="11"/>
  <c r="X35" i="11"/>
  <c r="X39" i="11"/>
  <c r="X43" i="11"/>
  <c r="W17" i="11"/>
  <c r="W25" i="11"/>
  <c r="W29" i="11"/>
  <c r="W33" i="11"/>
  <c r="W37" i="11"/>
  <c r="W41" i="11"/>
  <c r="W45" i="11"/>
  <c r="V21" i="11"/>
  <c r="V23" i="11"/>
  <c r="V27" i="11"/>
  <c r="V31" i="11"/>
  <c r="V35" i="11"/>
  <c r="V39" i="11"/>
  <c r="V43" i="11"/>
  <c r="X101" i="11"/>
  <c r="W100" i="11"/>
  <c r="V99" i="11"/>
  <c r="X97" i="11"/>
  <c r="W96" i="11"/>
  <c r="V95" i="11"/>
  <c r="Y8" i="19"/>
  <c r="Y6" i="19"/>
  <c r="Y22" i="19"/>
  <c r="O9" i="19"/>
  <c r="O25" i="19"/>
  <c r="Y49" i="19"/>
  <c r="O55" i="19"/>
  <c r="O51" i="19"/>
  <c r="O47" i="19"/>
  <c r="O43" i="19"/>
  <c r="O39" i="19"/>
  <c r="Y26" i="19"/>
  <c r="O13" i="19"/>
  <c r="O29" i="19"/>
  <c r="Y53" i="19"/>
  <c r="Y37" i="19"/>
  <c r="O52" i="19"/>
  <c r="O48" i="19"/>
  <c r="O44" i="19"/>
  <c r="O40" i="19"/>
  <c r="O36" i="19"/>
  <c r="Z16" i="19"/>
  <c r="Z32" i="19"/>
  <c r="P8" i="19"/>
  <c r="P24" i="19"/>
  <c r="Z54" i="19"/>
  <c r="Z38" i="19"/>
  <c r="P52" i="19"/>
  <c r="P48" i="19"/>
  <c r="P44" i="19"/>
  <c r="P40" i="19"/>
  <c r="P36" i="19"/>
  <c r="Z20" i="19"/>
  <c r="P12" i="19"/>
  <c r="P28" i="19"/>
  <c r="Z42" i="19"/>
  <c r="P53" i="19"/>
  <c r="P49" i="19"/>
  <c r="P45" i="19"/>
  <c r="P41" i="19"/>
  <c r="P37" i="19"/>
  <c r="Y23" i="19"/>
  <c r="Y27" i="19"/>
  <c r="Y31" i="19"/>
  <c r="Y35" i="19"/>
  <c r="O6" i="19"/>
  <c r="O10" i="19"/>
  <c r="O14" i="19"/>
  <c r="O18" i="19"/>
  <c r="O22" i="19"/>
  <c r="O26" i="19"/>
  <c r="O30" i="19"/>
  <c r="O34" i="19"/>
  <c r="Y54" i="19"/>
  <c r="Y50" i="19"/>
  <c r="Y46" i="19"/>
  <c r="Y42" i="19"/>
  <c r="Y38" i="19"/>
  <c r="Y16" i="19"/>
  <c r="Y20" i="19"/>
  <c r="Y24" i="19"/>
  <c r="Y28" i="19"/>
  <c r="Y32" i="19"/>
  <c r="O7" i="19"/>
  <c r="O11" i="19"/>
  <c r="O15" i="19"/>
  <c r="O19" i="19"/>
  <c r="O23" i="19"/>
  <c r="O27" i="19"/>
  <c r="O31" i="19"/>
  <c r="O35" i="19"/>
  <c r="Y55" i="19"/>
  <c r="Y51" i="19"/>
  <c r="Y47" i="19"/>
  <c r="Y43" i="19"/>
  <c r="Y39" i="19"/>
  <c r="Y17" i="19"/>
  <c r="Y21" i="19"/>
  <c r="Y25" i="19"/>
  <c r="Y29" i="19"/>
  <c r="Y33" i="19"/>
  <c r="O8" i="19"/>
  <c r="O12" i="19"/>
  <c r="O16" i="19"/>
  <c r="O20" i="19"/>
  <c r="O24" i="19"/>
  <c r="O28" i="19"/>
  <c r="O32" i="19"/>
  <c r="Y52" i="19"/>
  <c r="Y48" i="19"/>
  <c r="Y44" i="19"/>
  <c r="Y40" i="19"/>
  <c r="C9" i="26"/>
  <c r="E9" i="26"/>
  <c r="Z17" i="19"/>
  <c r="Z21" i="19"/>
  <c r="Z25" i="19"/>
  <c r="Z29" i="19"/>
  <c r="Z33" i="19"/>
  <c r="P9" i="19"/>
  <c r="P13" i="19"/>
  <c r="P17" i="19"/>
  <c r="P21" i="19"/>
  <c r="P25" i="19"/>
  <c r="P29" i="19"/>
  <c r="P33" i="19"/>
  <c r="Z55" i="19"/>
  <c r="Z51" i="19"/>
  <c r="Z47" i="19"/>
  <c r="Z43" i="19"/>
  <c r="Z39" i="19"/>
  <c r="P55" i="19"/>
  <c r="Z6" i="19"/>
  <c r="Z18" i="19"/>
  <c r="Z22" i="19"/>
  <c r="Z26" i="19"/>
  <c r="Z30" i="19"/>
  <c r="Z34" i="19"/>
  <c r="P6" i="19"/>
  <c r="P10" i="19"/>
  <c r="P14" i="19"/>
  <c r="P18" i="19"/>
  <c r="P22" i="19"/>
  <c r="P26" i="19"/>
  <c r="P30" i="19"/>
  <c r="P34" i="19"/>
  <c r="Z52" i="19"/>
  <c r="Z48" i="19"/>
  <c r="Z44" i="19"/>
  <c r="Z40" i="19"/>
  <c r="Z36" i="19"/>
  <c r="Z7" i="19"/>
  <c r="Z19" i="19"/>
  <c r="Z23" i="19"/>
  <c r="Z27" i="19"/>
  <c r="Z31" i="19"/>
  <c r="Z35" i="19"/>
  <c r="P7" i="19"/>
  <c r="P11" i="19"/>
  <c r="P15" i="19"/>
  <c r="P19" i="19"/>
  <c r="P23" i="19"/>
  <c r="P27" i="19"/>
  <c r="P31" i="19"/>
  <c r="P35" i="19"/>
  <c r="Z53" i="19"/>
  <c r="Z49" i="19"/>
  <c r="Z45" i="19"/>
  <c r="Z41" i="19"/>
  <c r="Z37" i="19"/>
  <c r="G28" i="19"/>
  <c r="G30" i="19"/>
  <c r="G29" i="19"/>
  <c r="G31" i="19"/>
  <c r="B33" i="19"/>
  <c r="B30" i="19"/>
  <c r="Q8" i="19" s="1"/>
  <c r="B41" i="18"/>
  <c r="B50" i="18" s="1"/>
  <c r="F50" i="18" s="1"/>
  <c r="Y19" i="19"/>
  <c r="K12" i="14" l="1"/>
  <c r="J13" i="11"/>
  <c r="J12" i="14" s="1"/>
  <c r="Q42" i="19"/>
  <c r="AA7" i="19"/>
  <c r="AA46" i="19"/>
  <c r="AA29" i="19"/>
  <c r="Q21" i="19"/>
  <c r="AA48" i="19"/>
  <c r="AA23" i="19"/>
  <c r="C7" i="26"/>
  <c r="E7" i="26"/>
  <c r="AA10" i="19"/>
  <c r="Z10" i="19"/>
  <c r="S11" i="19"/>
  <c r="Y10" i="19"/>
  <c r="E29" i="14"/>
  <c r="U6" i="14"/>
  <c r="M6" i="14"/>
  <c r="Q46" i="11"/>
  <c r="Q42" i="11"/>
  <c r="Q38" i="11"/>
  <c r="Q34" i="11"/>
  <c r="Q30" i="11"/>
  <c r="Q26" i="11"/>
  <c r="Q22" i="11"/>
  <c r="Q43" i="11"/>
  <c r="Q39" i="11"/>
  <c r="Q35" i="11"/>
  <c r="Q31" i="11"/>
  <c r="Q27" i="11"/>
  <c r="Q23" i="11"/>
  <c r="Q44" i="11"/>
  <c r="Q40" i="11"/>
  <c r="Q36" i="11"/>
  <c r="Q32" i="11"/>
  <c r="Q28" i="11"/>
  <c r="Q24" i="11"/>
  <c r="Q45" i="11"/>
  <c r="Q29" i="11"/>
  <c r="Q33" i="11"/>
  <c r="Q41" i="11"/>
  <c r="Q37" i="11"/>
  <c r="Q25" i="11"/>
  <c r="G109" i="11"/>
  <c r="S9" i="11"/>
  <c r="S109" i="11" s="1"/>
  <c r="AA18" i="19"/>
  <c r="Q15" i="19"/>
  <c r="AA51" i="19"/>
  <c r="Q51" i="19"/>
  <c r="Q43" i="19"/>
  <c r="AA22" i="19"/>
  <c r="Q19" i="19"/>
  <c r="AA39" i="19"/>
  <c r="Q48" i="19"/>
  <c r="Q40" i="19"/>
  <c r="AA34" i="19"/>
  <c r="Q31" i="19"/>
  <c r="Q47" i="19"/>
  <c r="Q39" i="19"/>
  <c r="Q35" i="19"/>
  <c r="AA55" i="19"/>
  <c r="Q55" i="19"/>
  <c r="Q44" i="19"/>
  <c r="Q36" i="19"/>
  <c r="Q52" i="19"/>
  <c r="P2" i="19"/>
  <c r="P3" i="19" s="1"/>
  <c r="Q46" i="19"/>
  <c r="Q27" i="19"/>
  <c r="Q37" i="19"/>
  <c r="Q53" i="19"/>
  <c r="AA26" i="19"/>
  <c r="AA50" i="19"/>
  <c r="Q26" i="19"/>
  <c r="Q10" i="19"/>
  <c r="AA25" i="19"/>
  <c r="AA41" i="19"/>
  <c r="Q33" i="19"/>
  <c r="Q17" i="19"/>
  <c r="AA28" i="19"/>
  <c r="AA36" i="19"/>
  <c r="AA52" i="19"/>
  <c r="Q20" i="19"/>
  <c r="AA35" i="19"/>
  <c r="AA19" i="19"/>
  <c r="W23" i="11"/>
  <c r="W31" i="11"/>
  <c r="W39" i="11"/>
  <c r="W26" i="11"/>
  <c r="W34" i="11"/>
  <c r="W42" i="11"/>
  <c r="W27" i="11"/>
  <c r="W35" i="11"/>
  <c r="W43" i="11"/>
  <c r="W38" i="11"/>
  <c r="W46" i="11"/>
  <c r="W30" i="11"/>
  <c r="W22" i="11"/>
  <c r="V17" i="11"/>
  <c r="P17" i="11"/>
  <c r="P18" i="11"/>
  <c r="P12" i="11" s="1"/>
  <c r="AA9" i="19"/>
  <c r="K46" i="11"/>
  <c r="K42" i="11"/>
  <c r="K38" i="11"/>
  <c r="K34" i="11"/>
  <c r="K30" i="11"/>
  <c r="K26" i="11"/>
  <c r="K22" i="11"/>
  <c r="K12" i="11" s="1"/>
  <c r="K43" i="11"/>
  <c r="K39" i="11"/>
  <c r="K35" i="11"/>
  <c r="K31" i="11"/>
  <c r="K27" i="11"/>
  <c r="K23" i="11"/>
  <c r="K44" i="11"/>
  <c r="K40" i="11"/>
  <c r="K36" i="11"/>
  <c r="K32" i="11"/>
  <c r="K28" i="11"/>
  <c r="K24" i="11"/>
  <c r="K37" i="11"/>
  <c r="K41" i="11"/>
  <c r="K25" i="11"/>
  <c r="K33" i="11"/>
  <c r="K45" i="11"/>
  <c r="K29" i="11"/>
  <c r="G105" i="11"/>
  <c r="S5" i="11"/>
  <c r="S105" i="11" s="1"/>
  <c r="Q49" i="19"/>
  <c r="Q30" i="19"/>
  <c r="AA37" i="19"/>
  <c r="AA32" i="19"/>
  <c r="Q24" i="19"/>
  <c r="L43" i="11"/>
  <c r="L39" i="11"/>
  <c r="L35" i="11"/>
  <c r="L31" i="11"/>
  <c r="L27" i="11"/>
  <c r="L23" i="11"/>
  <c r="L12" i="11" s="1"/>
  <c r="L44" i="11"/>
  <c r="L40" i="11"/>
  <c r="L36" i="11"/>
  <c r="L32" i="11"/>
  <c r="L28" i="11"/>
  <c r="L24" i="11"/>
  <c r="L45" i="11"/>
  <c r="L41" i="11"/>
  <c r="L37" i="11"/>
  <c r="L33" i="11"/>
  <c r="L29" i="11"/>
  <c r="L25" i="11"/>
  <c r="L42" i="11"/>
  <c r="L26" i="11"/>
  <c r="L46" i="11"/>
  <c r="L30" i="11"/>
  <c r="L22" i="11"/>
  <c r="L34" i="11"/>
  <c r="L38" i="11"/>
  <c r="O2" i="19"/>
  <c r="O3" i="19" s="1"/>
  <c r="Q50" i="19"/>
  <c r="Q11" i="19"/>
  <c r="Q41" i="19"/>
  <c r="AA43" i="19"/>
  <c r="AA38" i="19"/>
  <c r="AA54" i="19"/>
  <c r="Q22" i="19"/>
  <c r="Q6" i="19"/>
  <c r="AA21" i="19"/>
  <c r="AA45" i="19"/>
  <c r="Q29" i="19"/>
  <c r="Q13" i="19"/>
  <c r="AA24" i="19"/>
  <c r="AA40" i="19"/>
  <c r="Q32" i="19"/>
  <c r="Q16" i="19"/>
  <c r="AA31" i="19"/>
  <c r="AA6" i="19"/>
  <c r="X17" i="11"/>
  <c r="X12" i="11" s="1"/>
  <c r="W20" i="11"/>
  <c r="W21" i="11"/>
  <c r="R17" i="11"/>
  <c r="R18" i="11"/>
  <c r="R12" i="11" s="1"/>
  <c r="E43" i="17"/>
  <c r="G43" i="17"/>
  <c r="F45" i="17"/>
  <c r="E13" i="14" s="1"/>
  <c r="E14" i="14" s="1"/>
  <c r="B20" i="14" s="1"/>
  <c r="D13" i="14"/>
  <c r="D14" i="14" s="1"/>
  <c r="AA47" i="19"/>
  <c r="Q7" i="19"/>
  <c r="Q14" i="19"/>
  <c r="AA53" i="19"/>
  <c r="AA16" i="19"/>
  <c r="D29" i="14"/>
  <c r="L6" i="14"/>
  <c r="F51" i="18"/>
  <c r="T6" i="14"/>
  <c r="F49" i="18"/>
  <c r="Q38" i="19"/>
  <c r="Q54" i="19"/>
  <c r="AA30" i="19"/>
  <c r="Q45" i="19"/>
  <c r="Q23" i="19"/>
  <c r="AA42" i="19"/>
  <c r="Q34" i="19"/>
  <c r="Q18" i="19"/>
  <c r="AA33" i="19"/>
  <c r="AA17" i="19"/>
  <c r="AA49" i="19"/>
  <c r="Q25" i="19"/>
  <c r="Q9" i="19"/>
  <c r="AA20" i="19"/>
  <c r="AA44" i="19"/>
  <c r="Q28" i="19"/>
  <c r="Q12" i="19"/>
  <c r="AA27" i="19"/>
  <c r="AA8" i="19"/>
  <c r="X24" i="11"/>
  <c r="X32" i="11"/>
  <c r="X40" i="11"/>
  <c r="X25" i="11"/>
  <c r="X33" i="11"/>
  <c r="X41" i="11"/>
  <c r="X28" i="11"/>
  <c r="X36" i="11"/>
  <c r="X44" i="11"/>
  <c r="X45" i="11"/>
  <c r="X29" i="11"/>
  <c r="X37" i="11"/>
  <c r="K45" i="17"/>
  <c r="L43" i="17"/>
  <c r="J43" i="17"/>
  <c r="T13" i="14"/>
  <c r="L13" i="14"/>
  <c r="D36" i="14"/>
  <c r="R43" i="11"/>
  <c r="R39" i="11"/>
  <c r="R35" i="11"/>
  <c r="R31" i="11"/>
  <c r="R27" i="11"/>
  <c r="R23" i="11"/>
  <c r="R44" i="11"/>
  <c r="R40" i="11"/>
  <c r="R36" i="11"/>
  <c r="R32" i="11"/>
  <c r="R28" i="11"/>
  <c r="R24" i="11"/>
  <c r="R45" i="11"/>
  <c r="R41" i="11"/>
  <c r="R37" i="11"/>
  <c r="R33" i="11"/>
  <c r="R29" i="11"/>
  <c r="R25" i="11"/>
  <c r="R34" i="11"/>
  <c r="R38" i="11"/>
  <c r="R22" i="11"/>
  <c r="R30" i="11"/>
  <c r="R42" i="11"/>
  <c r="R26" i="11"/>
  <c r="R46" i="11"/>
  <c r="D20" i="14"/>
  <c r="Q19" i="11"/>
  <c r="Q18" i="11"/>
  <c r="Q12" i="11" s="1"/>
  <c r="Q20" i="11"/>
  <c r="V12" i="11"/>
  <c r="C35" i="14" s="1"/>
  <c r="W12" i="11"/>
  <c r="E35" i="14" s="1"/>
  <c r="V13" i="11"/>
  <c r="B35" i="14" s="1"/>
  <c r="T12" i="11"/>
  <c r="M12" i="14" l="1"/>
  <c r="K13" i="11"/>
  <c r="L12" i="14" s="1"/>
  <c r="S12" i="14"/>
  <c r="P13" i="11"/>
  <c r="R12" i="14" s="1"/>
  <c r="L13" i="11"/>
  <c r="N12" i="14" s="1"/>
  <c r="O12" i="14"/>
  <c r="W12" i="14"/>
  <c r="R13" i="11"/>
  <c r="V12" i="14" s="1"/>
  <c r="G35" i="14"/>
  <c r="X13" i="11"/>
  <c r="F35" i="14" s="1"/>
  <c r="F37" i="14" s="1"/>
  <c r="U12" i="14"/>
  <c r="Q13" i="11"/>
  <c r="T12" i="14" s="1"/>
  <c r="T14" i="14" s="1"/>
  <c r="E37" i="14"/>
  <c r="J45" i="17"/>
  <c r="J13" i="14"/>
  <c r="R13" i="14"/>
  <c r="B36" i="14"/>
  <c r="L45" i="17"/>
  <c r="V13" i="14"/>
  <c r="N13" i="14"/>
  <c r="F36" i="14"/>
  <c r="V6" i="14"/>
  <c r="N6" i="14"/>
  <c r="F29" i="14"/>
  <c r="G51" i="18"/>
  <c r="G45" i="17"/>
  <c r="G13" i="14" s="1"/>
  <c r="G14" i="14" s="1"/>
  <c r="F13" i="14"/>
  <c r="F14" i="14" s="1"/>
  <c r="Q2" i="19"/>
  <c r="Q3" i="19" s="1"/>
  <c r="W13" i="11"/>
  <c r="D35" i="14" s="1"/>
  <c r="D37" i="14" s="1"/>
  <c r="L36" i="14"/>
  <c r="M13" i="14"/>
  <c r="U13" i="14"/>
  <c r="E36" i="14"/>
  <c r="L29" i="14"/>
  <c r="E45" i="17"/>
  <c r="C13" i="14" s="1"/>
  <c r="C14" i="14" s="1"/>
  <c r="B13" i="14"/>
  <c r="B14" i="14" s="1"/>
  <c r="M29" i="14"/>
  <c r="Y11" i="19"/>
  <c r="AA11" i="19"/>
  <c r="S12" i="19"/>
  <c r="Z11" i="19"/>
  <c r="J35" i="14"/>
  <c r="J14" i="14"/>
  <c r="B37" i="14"/>
  <c r="J6" i="14"/>
  <c r="R6" i="14"/>
  <c r="B29" i="14"/>
  <c r="G49" i="18"/>
  <c r="K35" i="14"/>
  <c r="C20" i="14"/>
  <c r="W6" i="14" l="1"/>
  <c r="G29" i="14"/>
  <c r="O6" i="14"/>
  <c r="L35" i="14"/>
  <c r="L37" i="14" s="1"/>
  <c r="L14" i="14"/>
  <c r="N36" i="14"/>
  <c r="M35" i="14"/>
  <c r="M14" i="14"/>
  <c r="N29" i="14"/>
  <c r="V14" i="14"/>
  <c r="R14" i="14"/>
  <c r="K6" i="14"/>
  <c r="C29" i="14"/>
  <c r="S6" i="14"/>
  <c r="B19" i="14"/>
  <c r="D19" i="14"/>
  <c r="C19" i="14"/>
  <c r="K13" i="14"/>
  <c r="S13" i="14"/>
  <c r="C36" i="14"/>
  <c r="C37" i="14" s="1"/>
  <c r="O35" i="14"/>
  <c r="AA12" i="19"/>
  <c r="Y12" i="19"/>
  <c r="S13" i="19"/>
  <c r="Z12" i="19"/>
  <c r="M36" i="14"/>
  <c r="N35" i="14"/>
  <c r="N37" i="14" s="1"/>
  <c r="N14" i="14"/>
  <c r="J29" i="14"/>
  <c r="B21" i="14"/>
  <c r="C21" i="14"/>
  <c r="D21" i="14"/>
  <c r="O13" i="14"/>
  <c r="O36" i="14" s="1"/>
  <c r="W13" i="14"/>
  <c r="G36" i="14"/>
  <c r="G37" i="14" s="1"/>
  <c r="J36" i="14"/>
  <c r="J37" i="14" s="1"/>
  <c r="U14" i="14"/>
  <c r="W14" i="14"/>
  <c r="S14" i="14"/>
  <c r="O14" i="14" l="1"/>
  <c r="K29" i="14"/>
  <c r="M37" i="14"/>
  <c r="Z13" i="19"/>
  <c r="AA13" i="19"/>
  <c r="S14" i="19"/>
  <c r="Y13" i="19"/>
  <c r="O37" i="14"/>
  <c r="K36" i="14"/>
  <c r="K37" i="14" s="1"/>
  <c r="K14" i="14"/>
  <c r="O29" i="14"/>
  <c r="AA14" i="19" l="1"/>
  <c r="Z14" i="19"/>
  <c r="S15" i="19"/>
  <c r="Y14" i="19"/>
  <c r="AA15" i="19" l="1"/>
  <c r="AA2" i="19" s="1"/>
  <c r="Y15" i="19"/>
  <c r="Y2" i="19" s="1"/>
  <c r="Z15" i="19"/>
  <c r="Z2" i="19" s="1"/>
  <c r="AD20" i="19" l="1"/>
  <c r="Z3" i="19"/>
  <c r="AC20" i="19"/>
  <c r="Y3" i="19"/>
  <c r="AE20" i="19"/>
  <c r="AA3" i="19"/>
  <c r="G30" i="14" l="1"/>
  <c r="G31" i="14" s="1"/>
  <c r="O7" i="14"/>
  <c r="AE21" i="19"/>
  <c r="W7" i="14"/>
  <c r="W8" i="14" s="1"/>
  <c r="C30" i="14"/>
  <c r="C31" i="14" s="1"/>
  <c r="AC21" i="19"/>
  <c r="K7" i="14"/>
  <c r="S7" i="14"/>
  <c r="S8" i="14" s="1"/>
  <c r="E30" i="14"/>
  <c r="E31" i="14" s="1"/>
  <c r="U7" i="14"/>
  <c r="U8" i="14" s="1"/>
  <c r="AD21" i="19"/>
  <c r="M7" i="14"/>
  <c r="M30" i="14" l="1"/>
  <c r="M31" i="14" s="1"/>
  <c r="M8" i="14"/>
  <c r="R21" i="14"/>
  <c r="R19" i="14"/>
  <c r="R20" i="14"/>
  <c r="T19" i="14"/>
  <c r="T21" i="14"/>
  <c r="T20" i="14"/>
  <c r="L7" i="14"/>
  <c r="T7" i="14"/>
  <c r="T8" i="14" s="1"/>
  <c r="D30" i="14"/>
  <c r="D31" i="14" s="1"/>
  <c r="K30" i="14"/>
  <c r="K31" i="14" s="1"/>
  <c r="K8" i="14"/>
  <c r="V7" i="14"/>
  <c r="V8" i="14" s="1"/>
  <c r="N7" i="14"/>
  <c r="F30" i="14"/>
  <c r="F31" i="14" s="1"/>
  <c r="S21" i="14"/>
  <c r="S20" i="14"/>
  <c r="S19" i="14"/>
  <c r="R7" i="14"/>
  <c r="R8" i="14" s="1"/>
  <c r="J7" i="14"/>
  <c r="B30" i="14"/>
  <c r="B31" i="14" s="1"/>
  <c r="O30" i="14"/>
  <c r="O31" i="14" s="1"/>
  <c r="O8" i="14"/>
  <c r="C44" i="14"/>
  <c r="C43" i="14"/>
  <c r="C42" i="14"/>
  <c r="B44" i="14"/>
  <c r="B42" i="14"/>
  <c r="B43" i="14"/>
  <c r="D42" i="14"/>
  <c r="D43" i="14"/>
  <c r="D44" i="14"/>
  <c r="J30" i="14" l="1"/>
  <c r="J31" i="14" s="1"/>
  <c r="J8" i="14"/>
  <c r="J20" i="14"/>
  <c r="J19" i="14"/>
  <c r="J21" i="14"/>
  <c r="L19" i="14"/>
  <c r="L21" i="14"/>
  <c r="L20" i="14"/>
  <c r="J44" i="14"/>
  <c r="J42" i="14"/>
  <c r="J43" i="14"/>
  <c r="L30" i="14"/>
  <c r="L31" i="14" s="1"/>
  <c r="L8" i="14"/>
  <c r="L43" i="14"/>
  <c r="L42" i="14"/>
  <c r="L44" i="14"/>
  <c r="N30" i="14"/>
  <c r="N31" i="14" s="1"/>
  <c r="N8" i="14"/>
  <c r="K20" i="14"/>
  <c r="K19" i="14"/>
  <c r="K21" i="14"/>
  <c r="K44" i="14"/>
  <c r="K43" i="14"/>
  <c r="K42" i="14"/>
</calcChain>
</file>

<file path=xl/sharedStrings.xml><?xml version="1.0" encoding="utf-8"?>
<sst xmlns="http://schemas.openxmlformats.org/spreadsheetml/2006/main" count="749" uniqueCount="273">
  <si>
    <t>Unit</t>
  </si>
  <si>
    <t>CY</t>
  </si>
  <si>
    <t>Acre</t>
  </si>
  <si>
    <t>L.F.</t>
  </si>
  <si>
    <t>Monitoring</t>
  </si>
  <si>
    <t>Excavation (e.g. channel network)</t>
  </si>
  <si>
    <t>Mid</t>
  </si>
  <si>
    <t>High</t>
  </si>
  <si>
    <t>Low</t>
  </si>
  <si>
    <t>Notes</t>
  </si>
  <si>
    <t>raise 1 ft</t>
  </si>
  <si>
    <t>raise 2ft</t>
  </si>
  <si>
    <t>raise 3ft</t>
  </si>
  <si>
    <t>Habitat restoration</t>
  </si>
  <si>
    <t>As a percentage of total project costs (from Hamilton project recap in LTMS)</t>
  </si>
  <si>
    <t>Fill requirements</t>
  </si>
  <si>
    <t>Benefits</t>
  </si>
  <si>
    <t>Annual</t>
  </si>
  <si>
    <t>NPV</t>
  </si>
  <si>
    <t>Environmental Quality</t>
  </si>
  <si>
    <t>Total Benefits</t>
  </si>
  <si>
    <t>Costs</t>
  </si>
  <si>
    <t>Capital</t>
  </si>
  <si>
    <t>O&amp;M</t>
  </si>
  <si>
    <t>Total Costs</t>
  </si>
  <si>
    <t>Benefit-Cost Ratio Comparison</t>
  </si>
  <si>
    <t>Benefit</t>
  </si>
  <si>
    <t>Cost</t>
  </si>
  <si>
    <t>Personnel</t>
  </si>
  <si>
    <t>Staff Time</t>
  </si>
  <si>
    <t>Professional Services</t>
  </si>
  <si>
    <t>Total - Personnel</t>
  </si>
  <si>
    <t>Dredging Projects</t>
  </si>
  <si>
    <t>Planning and Studies</t>
  </si>
  <si>
    <t>Permitting</t>
  </si>
  <si>
    <t>Dredging Activities</t>
  </si>
  <si>
    <t>Mitigation</t>
  </si>
  <si>
    <t>Total - Dredging</t>
  </si>
  <si>
    <t>Facility Operations</t>
  </si>
  <si>
    <t>Pump Station Operations</t>
  </si>
  <si>
    <t>Total - Facility Operations</t>
  </si>
  <si>
    <t>Maintenance &amp; Repair - Equipment</t>
  </si>
  <si>
    <t>Pump Maintenance</t>
  </si>
  <si>
    <t>Miscellaneous Equip. Repair</t>
  </si>
  <si>
    <t>Total Maint. &amp; Repair-Equip.</t>
  </si>
  <si>
    <t>Maintenance &amp; Repair - Land &amp; Buildings</t>
  </si>
  <si>
    <t>Pump Station Maintenance  Repair</t>
  </si>
  <si>
    <t>Tree Service &amp; Fence Repair</t>
  </si>
  <si>
    <t>Vegetation Maintenance &amp; Monitoring</t>
  </si>
  <si>
    <t>Miscellaneous Land &amp; Bldg Repair</t>
  </si>
  <si>
    <t>Total Maint. &amp; Repair-Land &amp; Bldgs.</t>
  </si>
  <si>
    <t>Other O&amp;M</t>
  </si>
  <si>
    <t>Other Services &amp; Supplies</t>
  </si>
  <si>
    <t>Total - Other O&amp;M</t>
  </si>
  <si>
    <t>EAV</t>
  </si>
  <si>
    <t>Discount rate</t>
  </si>
  <si>
    <t>Justification</t>
  </si>
  <si>
    <t>Recreation Experience</t>
  </si>
  <si>
    <t>Availability of Opportunity</t>
  </si>
  <si>
    <t>Carrying Capacity</t>
  </si>
  <si>
    <t>Accessibility</t>
  </si>
  <si>
    <t>Total Points</t>
  </si>
  <si>
    <t>User Value/Day</t>
  </si>
  <si>
    <t>Source:</t>
  </si>
  <si>
    <t>Aesthetic/ amenity</t>
  </si>
  <si>
    <t>Water quality</t>
  </si>
  <si>
    <t>Flood risk reduction</t>
  </si>
  <si>
    <t>Option/bequest/ existence value</t>
  </si>
  <si>
    <t>Carbon sequestration</t>
  </si>
  <si>
    <t>Primary production/ nursery</t>
  </si>
  <si>
    <t># Value estimates</t>
  </si>
  <si>
    <t>StdDev</t>
  </si>
  <si>
    <t>-1 SD</t>
  </si>
  <si>
    <t>Mean</t>
  </si>
  <si>
    <t>+1 SD</t>
  </si>
  <si>
    <t xml:space="preserve">   Aesthetic/amenity</t>
  </si>
  <si>
    <t>Tidal Marsh</t>
  </si>
  <si>
    <t xml:space="preserve">   Water quality</t>
  </si>
  <si>
    <t xml:space="preserve">   Flood risk reduction</t>
  </si>
  <si>
    <t xml:space="preserve">   Option/bequest/existence value</t>
  </si>
  <si>
    <t xml:space="preserve">   Primary production/nursery</t>
  </si>
  <si>
    <t xml:space="preserve">   Carbon sequestration</t>
  </si>
  <si>
    <t>Year</t>
  </si>
  <si>
    <t>Planning timeframe</t>
  </si>
  <si>
    <t>Total Duration</t>
  </si>
  <si>
    <t>Start (Year)</t>
  </si>
  <si>
    <t>End (Year)</t>
  </si>
  <si>
    <t>years</t>
  </si>
  <si>
    <t>No-Project Alternative</t>
  </si>
  <si>
    <t>Calendar Year</t>
  </si>
  <si>
    <t>Project Year</t>
  </si>
  <si>
    <t>O&amp;M Assumptions</t>
  </si>
  <si>
    <t>Cubic Yards</t>
  </si>
  <si>
    <t>Frequency (every X years)</t>
  </si>
  <si>
    <t>Cost/CY</t>
  </si>
  <si>
    <t>Annual Maintenance</t>
  </si>
  <si>
    <t>Total length</t>
  </si>
  <si>
    <t>Land Cover Change (From Year 1 Conditions)</t>
  </si>
  <si>
    <t>Other</t>
  </si>
  <si>
    <t xml:space="preserve">Recreational </t>
  </si>
  <si>
    <t>Quality changes</t>
  </si>
  <si>
    <t>Trail (additional miles/annual users)</t>
  </si>
  <si>
    <t>Intended Outcomes</t>
  </si>
  <si>
    <t>Park (acres, additional users)</t>
  </si>
  <si>
    <t>Other Facility (additional users)</t>
  </si>
  <si>
    <t>Flood Protection (Net of gray project design)</t>
  </si>
  <si>
    <t>Water Quality Improvement (net of gray project design)</t>
  </si>
  <si>
    <t>$</t>
  </si>
  <si>
    <t>Total volume</t>
  </si>
  <si>
    <t>Cost per CY</t>
  </si>
  <si>
    <t>CY/acre</t>
  </si>
  <si>
    <t>BMK-V unit costs</t>
  </si>
  <si>
    <t>Feet removed</t>
  </si>
  <si>
    <t>Cost per linear foot</t>
  </si>
  <si>
    <t>Calculated value</t>
  </si>
  <si>
    <t>User-entered value</t>
  </si>
  <si>
    <t>Cost per acre</t>
  </si>
  <si>
    <t>Area restored</t>
  </si>
  <si>
    <t>Survey of levee removal projects, adjusted to 2015 dollars</t>
  </si>
  <si>
    <t>Capital Cost Assumptions</t>
  </si>
  <si>
    <t>Start Year</t>
  </si>
  <si>
    <t>End Year</t>
  </si>
  <si>
    <t>(Project Year Basis)</t>
  </si>
  <si>
    <t>Dredging (annualized)</t>
  </si>
  <si>
    <t>Baylands O&amp;M Costs - Annualized</t>
  </si>
  <si>
    <t>Scenario Names</t>
  </si>
  <si>
    <t>Discount rates</t>
  </si>
  <si>
    <t>Assumptions</t>
  </si>
  <si>
    <t>Misc</t>
  </si>
  <si>
    <t>Levee Repair (annualized)</t>
  </si>
  <si>
    <t>Utilities</t>
  </si>
  <si>
    <t>Federal Discount Rate</t>
  </si>
  <si>
    <t>Version 1.0 - January 2016</t>
  </si>
  <si>
    <t>Annual Costs (NPV)</t>
  </si>
  <si>
    <t>Lower Bound</t>
  </si>
  <si>
    <t>Upper Bound</t>
  </si>
  <si>
    <t>Grand Total - Annual O&amp;M</t>
  </si>
  <si>
    <t>Annual Costs (Net Present Value)</t>
  </si>
  <si>
    <t>% of total capital cost</t>
  </si>
  <si>
    <t>Expand the rows above [+] to enter detailed O&amp;M Costs for each scenario</t>
  </si>
  <si>
    <t>Emergency response costs</t>
  </si>
  <si>
    <t>Cleanup costs</t>
  </si>
  <si>
    <t>Transportation delays</t>
  </si>
  <si>
    <t>Cost of infrastructure upgrades</t>
  </si>
  <si>
    <t>&lt;User entered value&gt;</t>
  </si>
  <si>
    <t>No project</t>
  </si>
  <si>
    <t>Alt 1</t>
  </si>
  <si>
    <t>http://planning.usace.army.mil/toolbox/library/EGMs/EGM16-03.pdf</t>
  </si>
  <si>
    <t>Point Values</t>
  </si>
  <si>
    <t>Unit Day Values (2016)</t>
  </si>
  <si>
    <t>Expected annual change in trail use</t>
  </si>
  <si>
    <t>Year 1 expected trail use</t>
  </si>
  <si>
    <t>Average annual use over project life</t>
  </si>
  <si>
    <t>Recreational User Counts: No Project</t>
  </si>
  <si>
    <t>Recreational User Counts: Alt1</t>
  </si>
  <si>
    <t>Army Corps Unit Day Values (2016)</t>
  </si>
  <si>
    <t>Expected Annual Value: No Project</t>
  </si>
  <si>
    <t>Expected Annual Value: Alt 1</t>
  </si>
  <si>
    <t>Net Present Value</t>
  </si>
  <si>
    <t>Specialized Fishing and Hunting</t>
  </si>
  <si>
    <t>General Recreation</t>
  </si>
  <si>
    <t>General Fishing and Hunting</t>
  </si>
  <si>
    <t>Specialized Recreation other than Fishing and Hunting</t>
  </si>
  <si>
    <t>Discount Rate</t>
  </si>
  <si>
    <t>Project Life (years)</t>
  </si>
  <si>
    <t>Project life (years)</t>
  </si>
  <si>
    <t>Project Life (Years)</t>
  </si>
  <si>
    <t>Net Recreational Benefits</t>
  </si>
  <si>
    <t>Flood Risk Reduction Benefits</t>
  </si>
  <si>
    <t>($ millions)</t>
  </si>
  <si>
    <t>Detailed Worksheet</t>
  </si>
  <si>
    <t>Annual Value</t>
  </si>
  <si>
    <t>Work Years</t>
  </si>
  <si>
    <t>Annualized Costs</t>
  </si>
  <si>
    <t>Damages to structures and contents</t>
  </si>
  <si>
    <t>Residential-structures</t>
  </si>
  <si>
    <t>Residential-contents (50% of structure value)</t>
  </si>
  <si>
    <t>Commercial &amp; Industrial-structures</t>
  </si>
  <si>
    <t>C&amp;I-contents (100% of structure)</t>
  </si>
  <si>
    <t>Stream bank/levee repairs</t>
  </si>
  <si>
    <t>Hydrologic Event</t>
  </si>
  <si>
    <t>100-yr</t>
  </si>
  <si>
    <t>10-yr</t>
  </si>
  <si>
    <t>200-yr</t>
  </si>
  <si>
    <t>Event Exceedance Probability</t>
  </si>
  <si>
    <t>Interval Probability</t>
  </si>
  <si>
    <t>Loss Categories</t>
  </si>
  <si>
    <t>Expected Annual Damages (EAD)</t>
  </si>
  <si>
    <t># Structures</t>
  </si>
  <si>
    <t>Damage/Structure</t>
  </si>
  <si>
    <t>Total Damage</t>
  </si>
  <si>
    <t>Structure Damage Coefficient*</t>
  </si>
  <si>
    <t>Units</t>
  </si>
  <si>
    <t>Unit Cost</t>
  </si>
  <si>
    <t>Total Cost</t>
  </si>
  <si>
    <t>Stream bank/levee repairs (linear feet)</t>
  </si>
  <si>
    <t>Emergency response costs (cost per day)</t>
  </si>
  <si>
    <t>Cleanup costs (cost per day)</t>
  </si>
  <si>
    <t>Transportation delays (cost per hour)</t>
  </si>
  <si>
    <t>Cost of infrastructure upgrades (misc)</t>
  </si>
  <si>
    <t>Tidal habitat value per acre (2015 dollars)</t>
  </si>
  <si>
    <t>Ecosystem Service Provision by Year</t>
  </si>
  <si>
    <t>Ecosystem Service By Land Cover</t>
  </si>
  <si>
    <t>Acres by Land Cover</t>
  </si>
  <si>
    <t>Project</t>
  </si>
  <si>
    <t>North Reach</t>
  </si>
  <si>
    <t>Middle Reach</t>
  </si>
  <si>
    <t>South Reach</t>
  </si>
  <si>
    <t>No Action</t>
  </si>
  <si>
    <t>Incl construction (5 years) plus 25 years</t>
  </si>
  <si>
    <t>Incl planning, tech studies, conceptual design</t>
  </si>
  <si>
    <t>Flood Control 2.0: Benefit-Cost Analysis Workbook for Lower Walnut Creek Project Alternatives</t>
  </si>
  <si>
    <t>Based  on SFBJV database</t>
  </si>
  <si>
    <t>Breach/Lower Levee</t>
  </si>
  <si>
    <t>Setback Levee</t>
  </si>
  <si>
    <t>Other O&amp;M (Mitigation for dredging)</t>
  </si>
  <si>
    <t>Annualized O&amp;M</t>
  </si>
  <si>
    <t>per reach</t>
  </si>
  <si>
    <t>*Assumed power law distribution</t>
  </si>
  <si>
    <t>All Alternatives</t>
  </si>
  <si>
    <t>All Other Alternatives</t>
  </si>
  <si>
    <t>Assume $10 million per event, every 7 years</t>
  </si>
  <si>
    <t>Assume $15 million per event, ecery 7 years</t>
  </si>
  <si>
    <t xml:space="preserve">Based on historical average for entire Bay Area; assumes nearby disposal </t>
  </si>
  <si>
    <t>Max Pts</t>
  </si>
  <si>
    <t>Several within 1 hr travel time, a few within 30 minutes travel time</t>
  </si>
  <si>
    <t>Several general activities; more than one high quality activity</t>
  </si>
  <si>
    <t>Optimum facilities to conduct activity at site</t>
  </si>
  <si>
    <t>Good access within site</t>
  </si>
  <si>
    <t>High aesthetic quality; no factors exist that lower quality</t>
  </si>
  <si>
    <t>No recreational uses</t>
  </si>
  <si>
    <t>"</t>
  </si>
  <si>
    <t>N/A</t>
  </si>
  <si>
    <t>Sum of probabilities (40-yr design)</t>
  </si>
  <si>
    <t>40-yr</t>
  </si>
  <si>
    <t>40-year event</t>
  </si>
  <si>
    <t>Net Ecosystem Service Benefits</t>
  </si>
  <si>
    <t>Based on Historical Costs</t>
  </si>
  <si>
    <t>Estimated</t>
  </si>
  <si>
    <t>$10 million for dredging every 7 years</t>
  </si>
  <si>
    <t>$15 million for dredging mitigation every 7 years</t>
  </si>
  <si>
    <t>$200k levee repair/maintenance every 10 years</t>
  </si>
  <si>
    <t>All costs rounded up to nearest thousand</t>
  </si>
  <si>
    <t>Baseline Costs (No Action)</t>
  </si>
  <si>
    <t>Entire Project Alternative</t>
  </si>
  <si>
    <t>Conco</t>
  </si>
  <si>
    <t>20-yr</t>
  </si>
  <si>
    <t>Planning, Permitting, Design (% of constr)</t>
  </si>
  <si>
    <t>Monitoring (% of total Proj costs)</t>
  </si>
  <si>
    <t>Mid range = estimates from BMK-V, adjusted to 2015 dollars, rounded up to nearest $50; Low = 10% lower; High = 30% higher; Alt S levee is 4 ft, built on existing fill</t>
  </si>
  <si>
    <t>Initial</t>
  </si>
  <si>
    <t>South</t>
  </si>
  <si>
    <t>North</t>
  </si>
  <si>
    <t>Total</t>
  </si>
  <si>
    <t>Diked/jurisdictional wetlands</t>
  </si>
  <si>
    <t>Diked wetlands</t>
  </si>
  <si>
    <t>Ruderal/upland</t>
  </si>
  <si>
    <t>Tidal wetland</t>
  </si>
  <si>
    <t>Seasonal wetland</t>
  </si>
  <si>
    <t>Transitional</t>
  </si>
  <si>
    <t>Net Chg</t>
  </si>
  <si>
    <t>Diked Wetlands</t>
  </si>
  <si>
    <t>Ruderal/ Upland</t>
  </si>
  <si>
    <t>Tidal Marsh/ Seasonal Wetland</t>
  </si>
  <si>
    <t>&lt;Landcover4&gt;</t>
  </si>
  <si>
    <t>&lt;Landcover5&gt;</t>
  </si>
  <si>
    <t>Net Change in Ecosystem Service Values</t>
  </si>
  <si>
    <t>Middle</t>
  </si>
  <si>
    <t>"Quality" Adjustment</t>
  </si>
  <si>
    <t>Of Tidal Marsh</t>
  </si>
  <si>
    <t>NA</t>
  </si>
  <si>
    <t>Point estimates from three sources</t>
  </si>
  <si>
    <t>Expected Annual Damage Calculator (30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</si>
</sst>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"/>
    <numFmt numFmtId="169" formatCode="\$#,##0"/>
    <numFmt numFmtId="170" formatCode="&quot;$&quot;#,##0"/>
    <numFmt numFmtId="171" formatCode="0.000%"/>
    <numFmt numFmtId="172" formatCode="\$#,##0.00"/>
    <numFmt numFmtId="173" formatCode="\$\ 0.00"/>
    <numFmt numFmtId="174" formatCode="0.000"/>
    <numFmt numFmtId="175" formatCode="0.0000"/>
    <numFmt numFmtId="176" formatCode="_-&quot;$&quot;* #,##0_-;\-&quot;$&quot;* #,##0_-;_-&quot;$&quot;* &quot;-&quot;??_-;_-@_-"/>
    <numFmt numFmtId="177" formatCode="#,##0.000"/>
  </numFmts>
  <fonts count="4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A"/>
      <name val="Calibri"/>
      <family val="2"/>
    </font>
    <font>
      <b/>
      <sz val="10"/>
      <color rgb="FF00000A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8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7">
    <xf numFmtId="0" fontId="0" fillId="0" borderId="0" xfId="0"/>
    <xf numFmtId="0" fontId="10" fillId="0" borderId="0" xfId="0" applyFont="1" applyBorder="1"/>
    <xf numFmtId="0" fontId="9" fillId="0" borderId="0" xfId="0" applyFont="1" applyBorder="1"/>
    <xf numFmtId="0" fontId="11" fillId="0" borderId="0" xfId="0" applyFont="1"/>
    <xf numFmtId="0" fontId="10" fillId="0" borderId="0" xfId="0" applyFont="1" applyBorder="1" applyAlignment="1"/>
    <xf numFmtId="0" fontId="9" fillId="0" borderId="0" xfId="0" applyFont="1" applyBorder="1" applyAlignment="1"/>
    <xf numFmtId="6" fontId="10" fillId="0" borderId="0" xfId="0" applyNumberFormat="1" applyFont="1" applyBorder="1" applyAlignment="1"/>
    <xf numFmtId="10" fontId="10" fillId="0" borderId="0" xfId="0" applyNumberFormat="1" applyFont="1" applyBorder="1" applyAlignment="1"/>
    <xf numFmtId="10" fontId="9" fillId="0" borderId="0" xfId="0" applyNumberFormat="1" applyFont="1" applyBorder="1" applyAlignment="1"/>
    <xf numFmtId="0" fontId="10" fillId="0" borderId="0" xfId="0" applyNumberFormat="1" applyFont="1" applyBorder="1" applyAlignment="1"/>
    <xf numFmtId="0" fontId="10" fillId="0" borderId="0" xfId="6" applyNumberFormat="1" applyFont="1" applyBorder="1" applyAlignment="1"/>
    <xf numFmtId="0" fontId="10" fillId="0" borderId="0" xfId="0" applyFont="1" applyBorder="1" applyAlignment="1">
      <alignment horizontal="left" indent="1"/>
    </xf>
    <xf numFmtId="166" fontId="10" fillId="0" borderId="0" xfId="6" applyNumberFormat="1" applyFont="1" applyBorder="1" applyAlignment="1"/>
    <xf numFmtId="166" fontId="9" fillId="0" borderId="0" xfId="6" applyNumberFormat="1" applyFont="1" applyBorder="1" applyAlignment="1"/>
    <xf numFmtId="0" fontId="13" fillId="0" borderId="0" xfId="0" applyFont="1" applyBorder="1"/>
    <xf numFmtId="0" fontId="13" fillId="0" borderId="0" xfId="0" applyFont="1" applyFill="1" applyBorder="1"/>
    <xf numFmtId="9" fontId="10" fillId="0" borderId="0" xfId="3" applyFont="1" applyBorder="1" applyAlignment="1"/>
    <xf numFmtId="166" fontId="0" fillId="0" borderId="0" xfId="6" applyNumberFormat="1" applyFont="1"/>
    <xf numFmtId="0" fontId="10" fillId="0" borderId="2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1" xfId="0" applyFont="1" applyBorder="1"/>
    <xf numFmtId="2" fontId="17" fillId="0" borderId="1" xfId="0" applyNumberFormat="1" applyFont="1" applyFill="1" applyBorder="1" applyAlignment="1">
      <alignment horizontal="right" vertical="center" wrapText="1"/>
    </xf>
    <xf numFmtId="0" fontId="16" fillId="0" borderId="2" xfId="0" applyFont="1" applyBorder="1"/>
    <xf numFmtId="2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/>
    </xf>
    <xf numFmtId="0" fontId="16" fillId="2" borderId="4" xfId="0" applyFont="1" applyFill="1" applyBorder="1"/>
    <xf numFmtId="0" fontId="16" fillId="2" borderId="7" xfId="0" applyFont="1" applyFill="1" applyBorder="1"/>
    <xf numFmtId="0" fontId="16" fillId="3" borderId="0" xfId="0" applyFont="1" applyFill="1" applyBorder="1"/>
    <xf numFmtId="2" fontId="16" fillId="0" borderId="0" xfId="0" applyNumberFormat="1" applyFont="1" applyBorder="1"/>
    <xf numFmtId="0" fontId="16" fillId="2" borderId="10" xfId="0" applyFont="1" applyFill="1" applyBorder="1"/>
    <xf numFmtId="2" fontId="16" fillId="0" borderId="2" xfId="0" applyNumberFormat="1" applyFont="1" applyBorder="1"/>
    <xf numFmtId="2" fontId="15" fillId="0" borderId="0" xfId="0" applyNumberFormat="1" applyFont="1" applyBorder="1"/>
    <xf numFmtId="2" fontId="16" fillId="0" borderId="0" xfId="0" applyNumberFormat="1" applyFont="1"/>
    <xf numFmtId="2" fontId="16" fillId="0" borderId="0" xfId="0" applyNumberFormat="1" applyFont="1" applyFill="1" applyBorder="1"/>
    <xf numFmtId="0" fontId="9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2" xfId="0" applyFont="1" applyBorder="1"/>
    <xf numFmtId="42" fontId="9" fillId="0" borderId="0" xfId="634" applyNumberFormat="1" applyFont="1"/>
    <xf numFmtId="42" fontId="10" fillId="0" borderId="0" xfId="634" applyNumberFormat="1" applyFont="1"/>
    <xf numFmtId="42" fontId="10" fillId="0" borderId="0" xfId="634" applyNumberFormat="1" applyFont="1" applyBorder="1"/>
    <xf numFmtId="0" fontId="9" fillId="0" borderId="3" xfId="0" applyFont="1" applyBorder="1"/>
    <xf numFmtId="0" fontId="22" fillId="0" borderId="0" xfId="0" applyFont="1" applyBorder="1"/>
    <xf numFmtId="0" fontId="16" fillId="3" borderId="0" xfId="0" applyFont="1" applyFill="1" applyBorder="1" applyAlignment="1">
      <alignment horizontal="right"/>
    </xf>
    <xf numFmtId="0" fontId="20" fillId="0" borderId="0" xfId="752" applyFont="1" applyBorder="1" applyAlignment="1">
      <alignment wrapText="1"/>
    </xf>
    <xf numFmtId="0" fontId="20" fillId="0" borderId="0" xfId="752" applyFont="1" applyBorder="1" applyAlignment="1">
      <alignment horizontal="right" wrapText="1"/>
    </xf>
    <xf numFmtId="0" fontId="18" fillId="3" borderId="0" xfId="752" applyFont="1" applyFill="1" applyBorder="1" applyAlignment="1">
      <alignment vertical="center" wrapText="1"/>
    </xf>
    <xf numFmtId="0" fontId="20" fillId="3" borderId="0" xfId="752" applyFont="1" applyFill="1" applyBorder="1" applyAlignment="1">
      <alignment horizontal="right" wrapText="1"/>
    </xf>
    <xf numFmtId="0" fontId="20" fillId="3" borderId="0" xfId="752" quotePrefix="1" applyFont="1" applyFill="1" applyBorder="1" applyAlignment="1">
      <alignment horizontal="right" wrapText="1"/>
    </xf>
    <xf numFmtId="0" fontId="19" fillId="0" borderId="1" xfId="752" applyFont="1" applyBorder="1" applyAlignment="1"/>
    <xf numFmtId="166" fontId="19" fillId="0" borderId="1" xfId="754" applyNumberFormat="1" applyFont="1" applyBorder="1" applyAlignment="1">
      <alignment horizontal="right"/>
    </xf>
    <xf numFmtId="0" fontId="19" fillId="0" borderId="0" xfId="752" applyFont="1" applyBorder="1" applyAlignment="1"/>
    <xf numFmtId="0" fontId="17" fillId="0" borderId="1" xfId="752" applyFont="1" applyBorder="1" applyAlignment="1">
      <alignment vertical="center" wrapText="1"/>
    </xf>
    <xf numFmtId="41" fontId="19" fillId="0" borderId="1" xfId="753" applyNumberFormat="1" applyFont="1" applyBorder="1" applyAlignment="1">
      <alignment horizontal="right"/>
    </xf>
    <xf numFmtId="166" fontId="19" fillId="0" borderId="0" xfId="754" applyNumberFormat="1" applyFont="1" applyBorder="1" applyAlignment="1">
      <alignment horizontal="right"/>
    </xf>
    <xf numFmtId="0" fontId="17" fillId="0" borderId="0" xfId="752" applyFont="1" applyBorder="1" applyAlignment="1">
      <alignment vertical="center" wrapText="1"/>
    </xf>
    <xf numFmtId="41" fontId="19" fillId="0" borderId="0" xfId="753" applyNumberFormat="1" applyFont="1" applyBorder="1" applyAlignment="1">
      <alignment horizontal="right"/>
    </xf>
    <xf numFmtId="0" fontId="19" fillId="0" borderId="0" xfId="752" applyFont="1" applyBorder="1" applyAlignment="1">
      <alignment horizontal="left"/>
    </xf>
    <xf numFmtId="0" fontId="19" fillId="0" borderId="2" xfId="752" applyFont="1" applyBorder="1" applyAlignment="1">
      <alignment horizontal="left"/>
    </xf>
    <xf numFmtId="166" fontId="19" fillId="0" borderId="2" xfId="754" applyNumberFormat="1" applyFont="1" applyBorder="1" applyAlignment="1">
      <alignment horizontal="right"/>
    </xf>
    <xf numFmtId="0" fontId="17" fillId="0" borderId="2" xfId="752" applyFont="1" applyBorder="1" applyAlignment="1">
      <alignment vertical="center" wrapText="1"/>
    </xf>
    <xf numFmtId="41" fontId="19" fillId="0" borderId="2" xfId="753" applyNumberFormat="1" applyFont="1" applyBorder="1" applyAlignment="1">
      <alignment horizontal="right"/>
    </xf>
    <xf numFmtId="0" fontId="20" fillId="0" borderId="0" xfId="752" applyFont="1" applyBorder="1" applyAlignment="1">
      <alignment horizontal="left"/>
    </xf>
    <xf numFmtId="0" fontId="19" fillId="0" borderId="0" xfId="752" applyFont="1" applyBorder="1"/>
    <xf numFmtId="0" fontId="19" fillId="0" borderId="0" xfId="752" applyFont="1" applyBorder="1" applyAlignment="1">
      <alignment horizontal="right"/>
    </xf>
    <xf numFmtId="0" fontId="20" fillId="0" borderId="0" xfId="752" applyFont="1" applyFill="1" applyBorder="1" applyAlignment="1">
      <alignment wrapText="1"/>
    </xf>
    <xf numFmtId="0" fontId="20" fillId="0" borderId="0" xfId="752" applyFont="1" applyFill="1" applyBorder="1" applyAlignment="1">
      <alignment horizontal="right" wrapText="1"/>
    </xf>
    <xf numFmtId="0" fontId="19" fillId="0" borderId="0" xfId="752" applyFont="1" applyFill="1" applyBorder="1" applyAlignment="1"/>
    <xf numFmtId="0" fontId="20" fillId="0" borderId="0" xfId="752" applyFont="1" applyBorder="1"/>
    <xf numFmtId="0" fontId="14" fillId="0" borderId="0" xfId="0" applyFont="1" applyFill="1" applyBorder="1"/>
    <xf numFmtId="0" fontId="10" fillId="0" borderId="0" xfId="0" applyFont="1" applyBorder="1" applyAlignment="1">
      <alignment horizontal="left" indent="2"/>
    </xf>
    <xf numFmtId="0" fontId="10" fillId="0" borderId="2" xfId="0" applyNumberFormat="1" applyFont="1" applyBorder="1" applyAlignment="1"/>
    <xf numFmtId="0" fontId="10" fillId="0" borderId="0" xfId="0" applyFont="1" applyFill="1" applyBorder="1"/>
    <xf numFmtId="0" fontId="28" fillId="0" borderId="0" xfId="0" applyFont="1" applyBorder="1"/>
    <xf numFmtId="0" fontId="9" fillId="0" borderId="0" xfId="0" applyFont="1" applyBorder="1" applyAlignment="1">
      <alignment horizontal="left" indent="1"/>
    </xf>
    <xf numFmtId="0" fontId="9" fillId="0" borderId="0" xfId="0" applyNumberFormat="1" applyFont="1" applyBorder="1" applyAlignment="1"/>
    <xf numFmtId="0" fontId="11" fillId="0" borderId="2" xfId="0" applyFont="1" applyBorder="1" applyAlignment="1"/>
    <xf numFmtId="0" fontId="11" fillId="0" borderId="2" xfId="0" applyFont="1" applyBorder="1"/>
    <xf numFmtId="0" fontId="11" fillId="0" borderId="0" xfId="0" applyFont="1" applyBorder="1"/>
    <xf numFmtId="0" fontId="9" fillId="0" borderId="0" xfId="6" applyNumberFormat="1" applyFont="1" applyBorder="1" applyAlignment="1"/>
    <xf numFmtId="0" fontId="9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/>
    <xf numFmtId="0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0" fillId="3" borderId="13" xfId="0" applyFont="1" applyFill="1" applyBorder="1"/>
    <xf numFmtId="0" fontId="31" fillId="0" borderId="0" xfId="0" applyFont="1" applyBorder="1"/>
    <xf numFmtId="170" fontId="9" fillId="3" borderId="14" xfId="0" applyNumberFormat="1" applyFont="1" applyFill="1" applyBorder="1" applyAlignment="1"/>
    <xf numFmtId="170" fontId="9" fillId="3" borderId="3" xfId="0" applyNumberFormat="1" applyFont="1" applyFill="1" applyBorder="1" applyAlignment="1"/>
    <xf numFmtId="170" fontId="9" fillId="3" borderId="15" xfId="0" applyNumberFormat="1" applyFont="1" applyFill="1" applyBorder="1" applyAlignment="1"/>
    <xf numFmtId="170" fontId="9" fillId="3" borderId="14" xfId="6" applyNumberFormat="1" applyFont="1" applyFill="1" applyBorder="1" applyAlignment="1"/>
    <xf numFmtId="170" fontId="9" fillId="3" borderId="3" xfId="6" applyNumberFormat="1" applyFont="1" applyFill="1" applyBorder="1" applyAlignment="1"/>
    <xf numFmtId="170" fontId="9" fillId="3" borderId="15" xfId="6" applyNumberFormat="1" applyFont="1" applyFill="1" applyBorder="1" applyAlignment="1"/>
    <xf numFmtId="170" fontId="9" fillId="3" borderId="14" xfId="97" applyNumberFormat="1" applyFont="1" applyFill="1" applyBorder="1" applyAlignment="1"/>
    <xf numFmtId="166" fontId="10" fillId="0" borderId="0" xfId="6" applyNumberFormat="1" applyFont="1"/>
    <xf numFmtId="0" fontId="9" fillId="0" borderId="0" xfId="0" applyFont="1" applyFill="1" applyBorder="1" applyAlignment="1"/>
    <xf numFmtId="166" fontId="10" fillId="0" borderId="0" xfId="6" applyNumberFormat="1" applyFont="1" applyBorder="1"/>
    <xf numFmtId="0" fontId="26" fillId="3" borderId="3" xfId="824" applyFont="1" applyFill="1" applyBorder="1" applyAlignment="1">
      <alignment horizontal="left" vertical="center" wrapText="1"/>
    </xf>
    <xf numFmtId="169" fontId="27" fillId="0" borderId="1" xfId="824" applyNumberFormat="1" applyFont="1" applyFill="1" applyBorder="1" applyAlignment="1">
      <alignment horizontal="left" vertical="top" wrapText="1" indent="2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28" fillId="0" borderId="0" xfId="0" applyFont="1"/>
    <xf numFmtId="0" fontId="28" fillId="0" borderId="0" xfId="0" applyFont="1" applyFill="1" applyBorder="1"/>
    <xf numFmtId="169" fontId="10" fillId="0" borderId="0" xfId="0" applyNumberFormat="1" applyFont="1" applyBorder="1"/>
    <xf numFmtId="0" fontId="33" fillId="0" borderId="1" xfId="0" applyFont="1" applyFill="1" applyBorder="1" applyAlignment="1"/>
    <xf numFmtId="166" fontId="33" fillId="3" borderId="1" xfId="6" applyNumberFormat="1" applyFont="1" applyFill="1" applyBorder="1" applyAlignment="1"/>
    <xf numFmtId="0" fontId="33" fillId="0" borderId="0" xfId="0" applyFont="1" applyFill="1" applyBorder="1"/>
    <xf numFmtId="166" fontId="33" fillId="3" borderId="0" xfId="6" applyNumberFormat="1" applyFont="1" applyFill="1" applyBorder="1" applyAlignment="1"/>
    <xf numFmtId="0" fontId="34" fillId="0" borderId="0" xfId="0" applyFont="1" applyFill="1" applyBorder="1"/>
    <xf numFmtId="166" fontId="33" fillId="3" borderId="0" xfId="6" applyNumberFormat="1" applyFont="1" applyFill="1" applyBorder="1"/>
    <xf numFmtId="0" fontId="33" fillId="0" borderId="0" xfId="0" applyFont="1" applyBorder="1"/>
    <xf numFmtId="0" fontId="33" fillId="0" borderId="0" xfId="0" applyFont="1"/>
    <xf numFmtId="0" fontId="33" fillId="0" borderId="2" xfId="0" applyFont="1" applyBorder="1"/>
    <xf numFmtId="166" fontId="33" fillId="3" borderId="2" xfId="6" applyNumberFormat="1" applyFont="1" applyFill="1" applyBorder="1"/>
    <xf numFmtId="42" fontId="9" fillId="3" borderId="0" xfId="634" applyNumberFormat="1" applyFont="1" applyFill="1"/>
    <xf numFmtId="0" fontId="10" fillId="0" borderId="0" xfId="0" applyFont="1" applyFill="1"/>
    <xf numFmtId="42" fontId="9" fillId="3" borderId="3" xfId="634" applyNumberFormat="1" applyFont="1" applyFill="1" applyBorder="1"/>
    <xf numFmtId="42" fontId="9" fillId="0" borderId="0" xfId="634" applyNumberFormat="1" applyFont="1" applyBorder="1"/>
    <xf numFmtId="0" fontId="9" fillId="3" borderId="0" xfId="0" applyFont="1" applyFill="1"/>
    <xf numFmtId="166" fontId="9" fillId="3" borderId="0" xfId="6" applyNumberFormat="1" applyFont="1" applyFill="1"/>
    <xf numFmtId="0" fontId="28" fillId="0" borderId="0" xfId="0" applyFont="1" applyFill="1" applyBorder="1" applyAlignment="1">
      <alignment horizontal="center"/>
    </xf>
    <xf numFmtId="0" fontId="36" fillId="0" borderId="0" xfId="0" applyFont="1"/>
    <xf numFmtId="0" fontId="11" fillId="5" borderId="1" xfId="0" applyFont="1" applyFill="1" applyBorder="1"/>
    <xf numFmtId="0" fontId="36" fillId="5" borderId="1" xfId="0" applyFont="1" applyFill="1" applyBorder="1"/>
    <xf numFmtId="0" fontId="36" fillId="5" borderId="6" xfId="0" applyFont="1" applyFill="1" applyBorder="1"/>
    <xf numFmtId="0" fontId="11" fillId="5" borderId="9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11" fillId="5" borderId="0" xfId="0" applyFont="1" applyFill="1" applyBorder="1"/>
    <xf numFmtId="0" fontId="11" fillId="5" borderId="8" xfId="0" applyFont="1" applyFill="1" applyBorder="1"/>
    <xf numFmtId="0" fontId="11" fillId="5" borderId="11" xfId="0" applyFont="1" applyFill="1" applyBorder="1"/>
    <xf numFmtId="0" fontId="0" fillId="5" borderId="2" xfId="0" applyFill="1" applyBorder="1"/>
    <xf numFmtId="0" fontId="0" fillId="5" borderId="12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1" xfId="0" applyFont="1" applyFill="1" applyBorder="1"/>
    <xf numFmtId="1" fontId="10" fillId="0" borderId="0" xfId="0" applyNumberFormat="1" applyFont="1"/>
    <xf numFmtId="0" fontId="37" fillId="0" borderId="0" xfId="0" applyFont="1" applyBorder="1"/>
    <xf numFmtId="0" fontId="39" fillId="0" borderId="0" xfId="0" applyFont="1" applyFill="1" applyBorder="1"/>
    <xf numFmtId="9" fontId="28" fillId="3" borderId="0" xfId="0" applyNumberFormat="1" applyFont="1" applyFill="1"/>
    <xf numFmtId="9" fontId="38" fillId="3" borderId="0" xfId="0" applyNumberFormat="1" applyFont="1" applyFill="1" applyBorder="1"/>
    <xf numFmtId="172" fontId="28" fillId="0" borderId="0" xfId="0" applyNumberFormat="1" applyFont="1" applyFill="1" applyBorder="1"/>
    <xf numFmtId="164" fontId="40" fillId="0" borderId="0" xfId="0" applyNumberFormat="1" applyFont="1" applyAlignment="1">
      <alignment horizontal="right" vertical="center"/>
    </xf>
    <xf numFmtId="166" fontId="10" fillId="0" borderId="0" xfId="6" applyNumberFormat="1" applyFont="1" applyFill="1"/>
    <xf numFmtId="166" fontId="10" fillId="3" borderId="0" xfId="6" applyNumberFormat="1" applyFont="1" applyFill="1"/>
    <xf numFmtId="171" fontId="10" fillId="3" borderId="0" xfId="3" applyNumberFormat="1" applyFont="1" applyFill="1"/>
    <xf numFmtId="169" fontId="10" fillId="0" borderId="0" xfId="0" applyNumberFormat="1" applyFont="1"/>
    <xf numFmtId="169" fontId="10" fillId="0" borderId="0" xfId="0" applyNumberFormat="1" applyFont="1" applyFill="1" applyBorder="1"/>
    <xf numFmtId="169" fontId="28" fillId="0" borderId="0" xfId="0" applyNumberFormat="1" applyFont="1" applyFill="1" applyBorder="1"/>
    <xf numFmtId="171" fontId="10" fillId="0" borderId="0" xfId="3" applyNumberFormat="1" applyFont="1" applyFill="1"/>
    <xf numFmtId="0" fontId="33" fillId="0" borderId="2" xfId="0" applyFont="1" applyBorder="1" applyAlignment="1"/>
    <xf numFmtId="0" fontId="33" fillId="0" borderId="0" xfId="0" applyFont="1" applyFill="1" applyBorder="1" applyAlignment="1">
      <alignment horizontal="left"/>
    </xf>
    <xf numFmtId="0" fontId="0" fillId="0" borderId="0" xfId="0" applyBorder="1"/>
    <xf numFmtId="0" fontId="33" fillId="0" borderId="1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33" fillId="0" borderId="0" xfId="6" applyNumberFormat="1" applyFont="1" applyFill="1" applyBorder="1" applyAlignment="1"/>
    <xf numFmtId="0" fontId="33" fillId="0" borderId="2" xfId="0" applyFont="1" applyFill="1" applyBorder="1"/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2" fillId="3" borderId="0" xfId="0" applyFont="1" applyFill="1" applyBorder="1" applyAlignment="1">
      <alignment vertical="top"/>
    </xf>
    <xf numFmtId="0" fontId="22" fillId="3" borderId="0" xfId="0" applyFont="1" applyFill="1" applyAlignment="1">
      <alignment vertical="top"/>
    </xf>
    <xf numFmtId="0" fontId="22" fillId="3" borderId="0" xfId="0" applyFont="1" applyFill="1" applyAlignment="1">
      <alignment vertical="top" wrapText="1"/>
    </xf>
    <xf numFmtId="167" fontId="22" fillId="3" borderId="0" xfId="673" applyNumberFormat="1" applyFont="1" applyFill="1" applyBorder="1" applyAlignment="1">
      <alignment vertical="top" wrapTex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41" fillId="0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vertical="top" wrapText="1"/>
    </xf>
    <xf numFmtId="44" fontId="22" fillId="3" borderId="1" xfId="6" applyFont="1" applyFill="1" applyBorder="1" applyAlignment="1">
      <alignment vertical="top"/>
    </xf>
    <xf numFmtId="44" fontId="22" fillId="3" borderId="0" xfId="6" applyFont="1" applyFill="1" applyBorder="1" applyAlignment="1">
      <alignment vertical="top" wrapText="1"/>
    </xf>
    <xf numFmtId="44" fontId="22" fillId="3" borderId="0" xfId="6" applyFont="1" applyFill="1" applyBorder="1" applyAlignment="1">
      <alignment vertical="top"/>
    </xf>
    <xf numFmtId="44" fontId="22" fillId="3" borderId="2" xfId="6" applyFont="1" applyFill="1" applyBorder="1" applyAlignment="1">
      <alignment vertical="top" wrapText="1"/>
    </xf>
    <xf numFmtId="167" fontId="22" fillId="0" borderId="0" xfId="673" applyNumberFormat="1" applyFont="1" applyFill="1" applyBorder="1" applyAlignment="1">
      <alignment vertical="top"/>
    </xf>
    <xf numFmtId="166" fontId="13" fillId="3" borderId="1" xfId="6" applyNumberFormat="1" applyFont="1" applyFill="1" applyBorder="1" applyAlignment="1">
      <alignment vertical="top"/>
    </xf>
    <xf numFmtId="166" fontId="13" fillId="3" borderId="1" xfId="6" applyNumberFormat="1" applyFont="1" applyFill="1" applyBorder="1" applyAlignment="1">
      <alignment vertical="top" wrapText="1"/>
    </xf>
    <xf numFmtId="166" fontId="13" fillId="3" borderId="0" xfId="6" applyNumberFormat="1" applyFont="1" applyFill="1" applyBorder="1" applyAlignment="1">
      <alignment vertical="top"/>
    </xf>
    <xf numFmtId="166" fontId="13" fillId="3" borderId="2" xfId="6" applyNumberFormat="1" applyFont="1" applyFill="1" applyBorder="1" applyAlignment="1">
      <alignment vertical="top"/>
    </xf>
    <xf numFmtId="0" fontId="22" fillId="3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16" fillId="0" borderId="0" xfId="0" applyFont="1" applyFill="1"/>
    <xf numFmtId="0" fontId="15" fillId="3" borderId="0" xfId="0" applyFont="1" applyFill="1" applyBorder="1"/>
    <xf numFmtId="2" fontId="15" fillId="0" borderId="0" xfId="0" applyNumberFormat="1" applyFont="1"/>
    <xf numFmtId="2" fontId="16" fillId="0" borderId="0" xfId="0" applyNumberFormat="1" applyFont="1" applyFill="1"/>
    <xf numFmtId="4" fontId="16" fillId="0" borderId="0" xfId="0" applyNumberFormat="1" applyFont="1" applyBorder="1"/>
    <xf numFmtId="166" fontId="9" fillId="3" borderId="3" xfId="6" applyNumberFormat="1" applyFont="1" applyFill="1" applyBorder="1"/>
    <xf numFmtId="4" fontId="16" fillId="0" borderId="2" xfId="0" applyNumberFormat="1" applyFont="1" applyBorder="1"/>
    <xf numFmtId="167" fontId="10" fillId="3" borderId="0" xfId="97" applyNumberFormat="1" applyFont="1" applyFill="1"/>
    <xf numFmtId="0" fontId="42" fillId="0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2" fontId="16" fillId="3" borderId="0" xfId="0" applyNumberFormat="1" applyFont="1" applyFill="1" applyBorder="1" applyAlignment="1">
      <alignment horizontal="center"/>
    </xf>
    <xf numFmtId="4" fontId="16" fillId="0" borderId="1" xfId="0" applyNumberFormat="1" applyFont="1" applyBorder="1"/>
    <xf numFmtId="167" fontId="10" fillId="0" borderId="0" xfId="97" applyNumberFormat="1" applyFont="1" applyBorder="1"/>
    <xf numFmtId="167" fontId="10" fillId="0" borderId="0" xfId="97" applyNumberFormat="1" applyFont="1" applyFill="1" applyBorder="1"/>
    <xf numFmtId="43" fontId="27" fillId="0" borderId="1" xfId="97" applyFont="1" applyFill="1" applyBorder="1" applyAlignment="1">
      <alignment horizontal="left" vertical="top" wrapText="1" indent="2"/>
    </xf>
    <xf numFmtId="43" fontId="27" fillId="0" borderId="0" xfId="97" applyFont="1" applyFill="1" applyBorder="1" applyAlignment="1">
      <alignment horizontal="left" vertical="top" wrapText="1" indent="2"/>
    </xf>
    <xf numFmtId="169" fontId="27" fillId="0" borderId="0" xfId="824" applyNumberFormat="1" applyFont="1" applyFill="1" applyBorder="1" applyAlignment="1">
      <alignment vertical="top" wrapText="1"/>
    </xf>
    <xf numFmtId="166" fontId="9" fillId="3" borderId="0" xfId="6" applyNumberFormat="1" applyFont="1" applyFill="1" applyAlignment="1">
      <alignment horizontal="right"/>
    </xf>
    <xf numFmtId="0" fontId="9" fillId="0" borderId="0" xfId="0" applyFont="1" applyFill="1"/>
    <xf numFmtId="166" fontId="9" fillId="0" borderId="0" xfId="6" applyNumberFormat="1" applyFont="1" applyFill="1"/>
    <xf numFmtId="0" fontId="10" fillId="3" borderId="0" xfId="0" applyFont="1" applyFill="1" applyBorder="1"/>
    <xf numFmtId="175" fontId="10" fillId="3" borderId="0" xfId="0" applyNumberFormat="1" applyFont="1" applyFill="1" applyBorder="1"/>
    <xf numFmtId="0" fontId="9" fillId="3" borderId="0" xfId="0" applyFont="1" applyFill="1" applyBorder="1"/>
    <xf numFmtId="0" fontId="33" fillId="0" borderId="0" xfId="0" applyFont="1" applyFill="1" applyBorder="1" applyAlignment="1">
      <alignment horizontal="left" indent="1"/>
    </xf>
    <xf numFmtId="0" fontId="33" fillId="0" borderId="2" xfId="0" applyFont="1" applyFill="1" applyBorder="1" applyAlignment="1"/>
    <xf numFmtId="166" fontId="33" fillId="0" borderId="2" xfId="6" applyNumberFormat="1" applyFont="1" applyFill="1" applyBorder="1"/>
    <xf numFmtId="0" fontId="33" fillId="0" borderId="0" xfId="0" applyFont="1" applyFill="1"/>
    <xf numFmtId="0" fontId="33" fillId="0" borderId="2" xfId="0" applyFont="1" applyFill="1" applyBorder="1" applyAlignment="1">
      <alignment horizontal="left" indent="1"/>
    </xf>
    <xf numFmtId="0" fontId="10" fillId="3" borderId="1" xfId="0" applyFont="1" applyFill="1" applyBorder="1"/>
    <xf numFmtId="175" fontId="10" fillId="3" borderId="2" xfId="0" applyNumberFormat="1" applyFont="1" applyFill="1" applyBorder="1"/>
    <xf numFmtId="175" fontId="9" fillId="3" borderId="0" xfId="0" applyNumberFormat="1" applyFont="1" applyFill="1" applyBorder="1"/>
    <xf numFmtId="0" fontId="10" fillId="3" borderId="2" xfId="0" applyFont="1" applyFill="1" applyBorder="1"/>
    <xf numFmtId="166" fontId="10" fillId="3" borderId="1" xfId="6" applyNumberFormat="1" applyFont="1" applyFill="1" applyBorder="1"/>
    <xf numFmtId="166" fontId="10" fillId="3" borderId="0" xfId="6" applyNumberFormat="1" applyFont="1" applyFill="1" applyBorder="1"/>
    <xf numFmtId="166" fontId="10" fillId="3" borderId="2" xfId="6" applyNumberFormat="1" applyFont="1" applyFill="1" applyBorder="1"/>
    <xf numFmtId="166" fontId="10" fillId="0" borderId="1" xfId="0" applyNumberFormat="1" applyFont="1" applyBorder="1"/>
    <xf numFmtId="166" fontId="10" fillId="0" borderId="0" xfId="6" applyNumberFormat="1" applyFont="1" applyFill="1" applyBorder="1"/>
    <xf numFmtId="0" fontId="33" fillId="0" borderId="1" xfId="0" applyFont="1" applyFill="1" applyBorder="1" applyAlignment="1">
      <alignment horizontal="left"/>
    </xf>
    <xf numFmtId="0" fontId="33" fillId="0" borderId="2" xfId="0" applyFont="1" applyFill="1" applyBorder="1" applyAlignment="1">
      <alignment horizontal="left"/>
    </xf>
    <xf numFmtId="0" fontId="10" fillId="4" borderId="0" xfId="0" applyFont="1" applyFill="1"/>
    <xf numFmtId="0" fontId="9" fillId="4" borderId="0" xfId="0" applyFont="1" applyFill="1"/>
    <xf numFmtId="166" fontId="19" fillId="0" borderId="1" xfId="6" applyNumberFormat="1" applyFont="1" applyBorder="1" applyAlignment="1">
      <alignment horizontal="right"/>
    </xf>
    <xf numFmtId="166" fontId="19" fillId="0" borderId="0" xfId="6" applyNumberFormat="1" applyFont="1" applyBorder="1" applyAlignment="1">
      <alignment horizontal="right"/>
    </xf>
    <xf numFmtId="166" fontId="19" fillId="0" borderId="2" xfId="6" applyNumberFormat="1" applyFont="1" applyBorder="1" applyAlignment="1">
      <alignment horizontal="right"/>
    </xf>
    <xf numFmtId="0" fontId="20" fillId="3" borderId="0" xfId="752" applyFont="1" applyFill="1" applyBorder="1"/>
    <xf numFmtId="0" fontId="20" fillId="3" borderId="0" xfId="752" applyFont="1" applyFill="1" applyBorder="1" applyAlignment="1">
      <alignment horizontal="right"/>
    </xf>
    <xf numFmtId="0" fontId="19" fillId="0" borderId="2" xfId="752" applyFont="1" applyBorder="1" applyAlignment="1">
      <alignment wrapText="1"/>
    </xf>
    <xf numFmtId="0" fontId="19" fillId="0" borderId="2" xfId="752" applyFont="1" applyBorder="1" applyAlignment="1">
      <alignment horizontal="left" wrapText="1"/>
    </xf>
    <xf numFmtId="0" fontId="24" fillId="0" borderId="0" xfId="752" applyFont="1" applyBorder="1" applyAlignment="1">
      <alignment horizontal="left"/>
    </xf>
    <xf numFmtId="171" fontId="20" fillId="3" borderId="0" xfId="3" applyNumberFormat="1" applyFont="1" applyFill="1" applyBorder="1" applyAlignment="1">
      <alignment horizontal="right"/>
    </xf>
    <xf numFmtId="164" fontId="20" fillId="3" borderId="0" xfId="752" applyNumberFormat="1" applyFont="1" applyFill="1" applyBorder="1" applyAlignment="1">
      <alignment horizontal="right"/>
    </xf>
    <xf numFmtId="0" fontId="19" fillId="3" borderId="2" xfId="752" applyFont="1" applyFill="1" applyBorder="1" applyAlignment="1">
      <alignment horizontal="left" wrapText="1"/>
    </xf>
    <xf numFmtId="0" fontId="19" fillId="3" borderId="2" xfId="752" applyFont="1" applyFill="1" applyBorder="1"/>
    <xf numFmtId="176" fontId="19" fillId="3" borderId="0" xfId="752" applyNumberFormat="1" applyFont="1" applyFill="1" applyBorder="1" applyAlignment="1">
      <alignment horizontal="right"/>
    </xf>
    <xf numFmtId="0" fontId="19" fillId="3" borderId="2" xfId="752" applyFont="1" applyFill="1" applyBorder="1" applyAlignment="1">
      <alignment wrapText="1"/>
    </xf>
    <xf numFmtId="168" fontId="16" fillId="0" borderId="5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68" fontId="16" fillId="0" borderId="6" xfId="0" applyNumberFormat="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68" fontId="16" fillId="0" borderId="11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12" xfId="0" applyNumberFormat="1" applyFont="1" applyBorder="1" applyAlignment="1">
      <alignment horizontal="center"/>
    </xf>
    <xf numFmtId="166" fontId="10" fillId="3" borderId="0" xfId="0" applyNumberFormat="1" applyFont="1" applyFill="1" applyBorder="1"/>
    <xf numFmtId="0" fontId="10" fillId="3" borderId="0" xfId="0" applyFont="1" applyFill="1"/>
    <xf numFmtId="0" fontId="33" fillId="6" borderId="1" xfId="0" applyNumberFormat="1" applyFont="1" applyFill="1" applyBorder="1" applyAlignment="1"/>
    <xf numFmtId="0" fontId="33" fillId="6" borderId="1" xfId="0" applyFont="1" applyFill="1" applyBorder="1"/>
    <xf numFmtId="0" fontId="33" fillId="6" borderId="0" xfId="0" applyFont="1" applyFill="1" applyBorder="1"/>
    <xf numFmtId="0" fontId="33" fillId="6" borderId="2" xfId="0" applyFont="1" applyFill="1" applyBorder="1"/>
    <xf numFmtId="9" fontId="28" fillId="6" borderId="0" xfId="0" applyNumberFormat="1" applyFont="1" applyFill="1"/>
    <xf numFmtId="9" fontId="38" fillId="6" borderId="0" xfId="0" applyNumberFormat="1" applyFont="1" applyFill="1" applyBorder="1"/>
    <xf numFmtId="42" fontId="10" fillId="6" borderId="1" xfId="634" applyNumberFormat="1" applyFont="1" applyFill="1" applyBorder="1"/>
    <xf numFmtId="42" fontId="10" fillId="6" borderId="2" xfId="634" applyNumberFormat="1" applyFont="1" applyFill="1" applyBorder="1"/>
    <xf numFmtId="42" fontId="10" fillId="6" borderId="0" xfId="634" applyNumberFormat="1" applyFont="1" applyFill="1" applyBorder="1"/>
    <xf numFmtId="42" fontId="10" fillId="3" borderId="1" xfId="634" applyNumberFormat="1" applyFont="1" applyFill="1" applyBorder="1"/>
    <xf numFmtId="42" fontId="10" fillId="3" borderId="2" xfId="634" applyNumberFormat="1" applyFont="1" applyFill="1" applyBorder="1"/>
    <xf numFmtId="42" fontId="10" fillId="3" borderId="0" xfId="634" applyNumberFormat="1" applyFont="1" applyFill="1" applyBorder="1"/>
    <xf numFmtId="0" fontId="19" fillId="6" borderId="0" xfId="752" applyFont="1" applyFill="1" applyBorder="1"/>
    <xf numFmtId="0" fontId="19" fillId="6" borderId="0" xfId="752" applyFont="1" applyFill="1" applyBorder="1" applyAlignment="1">
      <alignment horizontal="right"/>
    </xf>
    <xf numFmtId="0" fontId="13" fillId="6" borderId="1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3" fillId="6" borderId="2" xfId="0" applyFont="1" applyFill="1" applyBorder="1" applyAlignment="1">
      <alignment vertical="top"/>
    </xf>
    <xf numFmtId="3" fontId="13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 wrapText="1"/>
    </xf>
    <xf numFmtId="10" fontId="13" fillId="6" borderId="0" xfId="0" applyNumberFormat="1" applyFont="1" applyFill="1" applyBorder="1" applyAlignment="1">
      <alignment vertical="top"/>
    </xf>
    <xf numFmtId="171" fontId="33" fillId="6" borderId="0" xfId="3" applyNumberFormat="1" applyFont="1" applyFill="1"/>
    <xf numFmtId="9" fontId="10" fillId="6" borderId="0" xfId="0" applyNumberFormat="1" applyFont="1" applyFill="1" applyBorder="1" applyAlignment="1"/>
    <xf numFmtId="9" fontId="10" fillId="6" borderId="0" xfId="0" applyNumberFormat="1" applyFont="1" applyFill="1" applyBorder="1"/>
    <xf numFmtId="166" fontId="33" fillId="6" borderId="2" xfId="6" applyNumberFormat="1" applyFont="1" applyFill="1" applyBorder="1"/>
    <xf numFmtId="0" fontId="10" fillId="6" borderId="0" xfId="0" applyFont="1" applyFill="1" applyBorder="1"/>
    <xf numFmtId="166" fontId="10" fillId="6" borderId="0" xfId="6" applyNumberFormat="1" applyFont="1" applyFill="1" applyBorder="1"/>
    <xf numFmtId="0" fontId="10" fillId="6" borderId="1" xfId="0" applyFont="1" applyFill="1" applyBorder="1"/>
    <xf numFmtId="166" fontId="10" fillId="6" borderId="1" xfId="6" applyNumberFormat="1" applyFont="1" applyFill="1" applyBorder="1"/>
    <xf numFmtId="0" fontId="10" fillId="6" borderId="2" xfId="0" applyFont="1" applyFill="1" applyBorder="1"/>
    <xf numFmtId="166" fontId="10" fillId="6" borderId="2" xfId="6" applyNumberFormat="1" applyFont="1" applyFill="1" applyBorder="1"/>
    <xf numFmtId="175" fontId="10" fillId="6" borderId="1" xfId="0" applyNumberFormat="1" applyFont="1" applyFill="1" applyBorder="1"/>
    <xf numFmtId="175" fontId="10" fillId="6" borderId="0" xfId="0" applyNumberFormat="1" applyFont="1" applyFill="1" applyBorder="1"/>
    <xf numFmtId="175" fontId="10" fillId="6" borderId="2" xfId="0" applyNumberFormat="1" applyFont="1" applyFill="1" applyBorder="1"/>
    <xf numFmtId="174" fontId="10" fillId="6" borderId="1" xfId="0" applyNumberFormat="1" applyFont="1" applyFill="1" applyBorder="1"/>
    <xf numFmtId="174" fontId="10" fillId="6" borderId="0" xfId="0" applyNumberFormat="1" applyFont="1" applyFill="1" applyBorder="1"/>
    <xf numFmtId="174" fontId="10" fillId="6" borderId="2" xfId="0" applyNumberFormat="1" applyFont="1" applyFill="1" applyBorder="1"/>
    <xf numFmtId="0" fontId="30" fillId="6" borderId="13" xfId="0" applyFont="1" applyFill="1" applyBorder="1"/>
    <xf numFmtId="167" fontId="10" fillId="6" borderId="5" xfId="97" applyNumberFormat="1" applyFont="1" applyFill="1" applyBorder="1" applyAlignment="1"/>
    <xf numFmtId="167" fontId="10" fillId="6" borderId="1" xfId="97" applyNumberFormat="1" applyFont="1" applyFill="1" applyBorder="1" applyAlignment="1"/>
    <xf numFmtId="167" fontId="10" fillId="6" borderId="6" xfId="97" applyNumberFormat="1" applyFont="1" applyFill="1" applyBorder="1" applyAlignment="1"/>
    <xf numFmtId="167" fontId="10" fillId="6" borderId="0" xfId="97" applyNumberFormat="1" applyFont="1" applyFill="1" applyBorder="1" applyAlignment="1"/>
    <xf numFmtId="170" fontId="10" fillId="6" borderId="9" xfId="6" applyNumberFormat="1" applyFont="1" applyFill="1" applyBorder="1" applyAlignment="1"/>
    <xf numFmtId="170" fontId="10" fillId="6" borderId="0" xfId="6" applyNumberFormat="1" applyFont="1" applyFill="1" applyBorder="1" applyAlignment="1"/>
    <xf numFmtId="170" fontId="10" fillId="6" borderId="8" xfId="6" applyNumberFormat="1" applyFont="1" applyFill="1" applyBorder="1" applyAlignment="1"/>
    <xf numFmtId="170" fontId="10" fillId="6" borderId="11" xfId="6" applyNumberFormat="1" applyFont="1" applyFill="1" applyBorder="1" applyAlignment="1"/>
    <xf numFmtId="170" fontId="10" fillId="6" borderId="2" xfId="6" applyNumberFormat="1" applyFont="1" applyFill="1" applyBorder="1" applyAlignment="1"/>
    <xf numFmtId="170" fontId="10" fillId="6" borderId="12" xfId="6" applyNumberFormat="1" applyFont="1" applyFill="1" applyBorder="1" applyAlignment="1"/>
    <xf numFmtId="170" fontId="10" fillId="6" borderId="11" xfId="97" applyNumberFormat="1" applyFont="1" applyFill="1" applyBorder="1" applyAlignment="1"/>
    <xf numFmtId="170" fontId="10" fillId="6" borderId="14" xfId="6" applyNumberFormat="1" applyFont="1" applyFill="1" applyBorder="1" applyAlignment="1"/>
    <xf numFmtId="170" fontId="10" fillId="6" borderId="3" xfId="6" applyNumberFormat="1" applyFont="1" applyFill="1" applyBorder="1" applyAlignment="1"/>
    <xf numFmtId="170" fontId="10" fillId="6" borderId="15" xfId="6" applyNumberFormat="1" applyFont="1" applyFill="1" applyBorder="1" applyAlignment="1"/>
    <xf numFmtId="0" fontId="10" fillId="6" borderId="0" xfId="0" applyNumberFormat="1" applyFont="1" applyFill="1" applyBorder="1" applyAlignment="1"/>
    <xf numFmtId="164" fontId="10" fillId="6" borderId="0" xfId="0" applyNumberFormat="1" applyFont="1" applyFill="1" applyBorder="1" applyAlignment="1"/>
    <xf numFmtId="0" fontId="0" fillId="6" borderId="4" xfId="0" applyFill="1" applyBorder="1"/>
    <xf numFmtId="0" fontId="0" fillId="6" borderId="10" xfId="0" applyFill="1" applyBorder="1"/>
    <xf numFmtId="171" fontId="0" fillId="6" borderId="4" xfId="0" applyNumberFormat="1" applyFill="1" applyBorder="1"/>
    <xf numFmtId="171" fontId="0" fillId="6" borderId="7" xfId="0" applyNumberFormat="1" applyFill="1" applyBorder="1"/>
    <xf numFmtId="171" fontId="0" fillId="6" borderId="10" xfId="0" applyNumberFormat="1" applyFill="1" applyBorder="1"/>
    <xf numFmtId="3" fontId="13" fillId="3" borderId="2" xfId="0" applyNumberFormat="1" applyFont="1" applyFill="1" applyBorder="1" applyAlignment="1">
      <alignment vertical="top"/>
    </xf>
    <xf numFmtId="0" fontId="28" fillId="0" borderId="2" xfId="0" applyFont="1" applyBorder="1"/>
    <xf numFmtId="0" fontId="2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top" wrapText="1"/>
    </xf>
    <xf numFmtId="167" fontId="27" fillId="3" borderId="1" xfId="97" applyNumberFormat="1" applyFont="1" applyFill="1" applyBorder="1" applyAlignment="1">
      <alignment horizontal="center" vertical="top" wrapText="1"/>
    </xf>
    <xf numFmtId="173" fontId="27" fillId="3" borderId="1" xfId="0" applyNumberFormat="1" applyFont="1" applyFill="1" applyBorder="1" applyAlignment="1">
      <alignment horizontal="center" vertical="top" wrapText="1"/>
    </xf>
    <xf numFmtId="167" fontId="27" fillId="3" borderId="0" xfId="97" applyNumberFormat="1" applyFont="1" applyFill="1" applyBorder="1" applyAlignment="1">
      <alignment horizontal="center" vertical="top" wrapText="1"/>
    </xf>
    <xf numFmtId="173" fontId="27" fillId="3" borderId="0" xfId="0" applyNumberFormat="1" applyFont="1" applyFill="1" applyBorder="1" applyAlignment="1">
      <alignment horizontal="center" vertical="top" wrapText="1"/>
    </xf>
    <xf numFmtId="167" fontId="27" fillId="3" borderId="2" xfId="97" applyNumberFormat="1" applyFont="1" applyFill="1" applyBorder="1" applyAlignment="1">
      <alignment horizontal="center" vertical="top" wrapText="1"/>
    </xf>
    <xf numFmtId="173" fontId="27" fillId="3" borderId="2" xfId="0" applyNumberFormat="1" applyFont="1" applyFill="1" applyBorder="1" applyAlignment="1">
      <alignment horizontal="center" vertical="top" wrapText="1"/>
    </xf>
    <xf numFmtId="169" fontId="27" fillId="3" borderId="1" xfId="824" applyNumberFormat="1" applyFont="1" applyFill="1" applyBorder="1" applyAlignment="1">
      <alignment vertical="top" wrapText="1"/>
    </xf>
    <xf numFmtId="169" fontId="27" fillId="3" borderId="0" xfId="824" applyNumberFormat="1" applyFont="1" applyFill="1" applyBorder="1" applyAlignment="1">
      <alignment vertical="top" wrapText="1"/>
    </xf>
    <xf numFmtId="0" fontId="11" fillId="5" borderId="5" xfId="0" applyFont="1" applyFill="1" applyBorder="1"/>
    <xf numFmtId="0" fontId="43" fillId="5" borderId="0" xfId="0" applyFont="1" applyFill="1" applyBorder="1"/>
    <xf numFmtId="0" fontId="0" fillId="5" borderId="9" xfId="0" applyFont="1" applyFill="1" applyBorder="1"/>
    <xf numFmtId="0" fontId="12" fillId="6" borderId="0" xfId="0" applyFon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1" xfId="0" applyFill="1" applyBorder="1"/>
    <xf numFmtId="0" fontId="12" fillId="6" borderId="2" xfId="0" applyFont="1" applyFill="1" applyBorder="1"/>
    <xf numFmtId="0" fontId="0" fillId="6" borderId="12" xfId="0" applyFill="1" applyBorder="1"/>
    <xf numFmtId="0" fontId="0" fillId="5" borderId="0" xfId="0" applyFont="1" applyFill="1" applyBorder="1"/>
    <xf numFmtId="9" fontId="10" fillId="6" borderId="14" xfId="3" applyFont="1" applyFill="1" applyBorder="1" applyAlignment="1"/>
    <xf numFmtId="9" fontId="10" fillId="6" borderId="3" xfId="3" applyFont="1" applyFill="1" applyBorder="1" applyAlignment="1"/>
    <xf numFmtId="9" fontId="10" fillId="6" borderId="15" xfId="3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166" fontId="10" fillId="6" borderId="0" xfId="6" applyNumberFormat="1" applyFont="1" applyFill="1" applyBorder="1" applyAlignment="1"/>
    <xf numFmtId="0" fontId="10" fillId="0" borderId="1" xfId="0" applyFont="1" applyBorder="1" applyAlignment="1">
      <alignment horizontal="left" indent="1"/>
    </xf>
    <xf numFmtId="0" fontId="10" fillId="0" borderId="1" xfId="0" applyNumberFormat="1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>
      <alignment horizontal="left" indent="1"/>
    </xf>
    <xf numFmtId="166" fontId="10" fillId="6" borderId="2" xfId="6" applyNumberFormat="1" applyFont="1" applyFill="1" applyBorder="1" applyAlignment="1"/>
    <xf numFmtId="166" fontId="10" fillId="6" borderId="1" xfId="6" applyNumberFormat="1" applyFont="1" applyFill="1" applyBorder="1" applyAlignment="1"/>
    <xf numFmtId="166" fontId="9" fillId="0" borderId="0" xfId="0" applyNumberFormat="1" applyFont="1" applyBorder="1" applyAlignment="1"/>
    <xf numFmtId="176" fontId="9" fillId="0" borderId="0" xfId="0" applyNumberFormat="1" applyFont="1" applyBorder="1" applyAlignment="1"/>
    <xf numFmtId="0" fontId="9" fillId="0" borderId="2" xfId="0" applyFont="1" applyBorder="1" applyAlignment="1"/>
    <xf numFmtId="0" fontId="9" fillId="0" borderId="2" xfId="0" applyNumberFormat="1" applyFont="1" applyBorder="1" applyAlignment="1"/>
    <xf numFmtId="44" fontId="22" fillId="3" borderId="1" xfId="6" applyFont="1" applyFill="1" applyBorder="1" applyAlignment="1">
      <alignment horizontal="left" vertical="top"/>
    </xf>
    <xf numFmtId="44" fontId="22" fillId="3" borderId="0" xfId="6" applyFont="1" applyFill="1" applyBorder="1" applyAlignment="1">
      <alignment horizontal="left" vertical="top" wrapText="1"/>
    </xf>
    <xf numFmtId="44" fontId="22" fillId="3" borderId="0" xfId="6" applyFont="1" applyFill="1" applyBorder="1" applyAlignment="1">
      <alignment horizontal="left" vertical="top"/>
    </xf>
    <xf numFmtId="44" fontId="22" fillId="3" borderId="2" xfId="6" applyFont="1" applyFill="1" applyBorder="1" applyAlignment="1">
      <alignment horizontal="left" vertical="top" wrapText="1"/>
    </xf>
    <xf numFmtId="176" fontId="10" fillId="3" borderId="0" xfId="0" applyNumberFormat="1" applyFont="1" applyFill="1" applyBorder="1"/>
    <xf numFmtId="1" fontId="28" fillId="0" borderId="0" xfId="0" applyNumberFormat="1" applyFont="1"/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44" fontId="22" fillId="0" borderId="0" xfId="6" applyFont="1" applyFill="1" applyBorder="1" applyAlignment="1">
      <alignment vertical="top"/>
    </xf>
    <xf numFmtId="44" fontId="22" fillId="0" borderId="0" xfId="6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vertical="top"/>
    </xf>
    <xf numFmtId="0" fontId="13" fillId="3" borderId="7" xfId="0" applyFont="1" applyFill="1" applyBorder="1" applyAlignment="1">
      <alignment vertical="top"/>
    </xf>
    <xf numFmtId="0" fontId="13" fillId="0" borderId="7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171" fontId="13" fillId="3" borderId="10" xfId="3" applyNumberFormat="1" applyFont="1" applyFill="1" applyBorder="1" applyAlignment="1">
      <alignment vertical="top"/>
    </xf>
    <xf numFmtId="171" fontId="42" fillId="0" borderId="0" xfId="3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4" fontId="16" fillId="0" borderId="0" xfId="0" applyNumberFormat="1" applyFont="1" applyFill="1" applyBorder="1" applyAlignment="1"/>
    <xf numFmtId="0" fontId="17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/>
    <xf numFmtId="2" fontId="17" fillId="0" borderId="0" xfId="0" applyNumberFormat="1" applyFont="1" applyFill="1" applyBorder="1" applyAlignment="1">
      <alignment horizontal="right" vertical="center"/>
    </xf>
    <xf numFmtId="166" fontId="33" fillId="6" borderId="0" xfId="6" applyNumberFormat="1" applyFont="1" applyFill="1" applyBorder="1" applyAlignment="1"/>
    <xf numFmtId="0" fontId="33" fillId="3" borderId="1" xfId="0" applyNumberFormat="1" applyFont="1" applyFill="1" applyBorder="1" applyAlignment="1"/>
    <xf numFmtId="0" fontId="33" fillId="3" borderId="1" xfId="0" applyFont="1" applyFill="1" applyBorder="1"/>
    <xf numFmtId="0" fontId="15" fillId="6" borderId="0" xfId="752" applyFont="1" applyFill="1" applyBorder="1" applyAlignment="1">
      <alignment horizontal="right"/>
    </xf>
    <xf numFmtId="0" fontId="34" fillId="0" borderId="0" xfId="0" applyFont="1"/>
    <xf numFmtId="1" fontId="19" fillId="6" borderId="0" xfId="752" applyNumberFormat="1" applyFont="1" applyFill="1" applyBorder="1"/>
    <xf numFmtId="1" fontId="19" fillId="6" borderId="0" xfId="752" applyNumberFormat="1" applyFont="1" applyFill="1" applyBorder="1" applyAlignment="1">
      <alignment horizontal="right"/>
    </xf>
    <xf numFmtId="166" fontId="19" fillId="3" borderId="0" xfId="752" applyNumberFormat="1" applyFont="1" applyFill="1" applyBorder="1" applyAlignment="1">
      <alignment horizontal="right"/>
    </xf>
    <xf numFmtId="2" fontId="16" fillId="0" borderId="2" xfId="0" applyNumberFormat="1" applyFont="1" applyFill="1" applyBorder="1" applyAlignment="1"/>
    <xf numFmtId="4" fontId="16" fillId="0" borderId="2" xfId="0" applyNumberFormat="1" applyFont="1" applyFill="1" applyBorder="1" applyAlignment="1"/>
    <xf numFmtId="0" fontId="10" fillId="0" borderId="0" xfId="6" applyNumberFormat="1" applyFont="1" applyFill="1" applyBorder="1" applyAlignment="1"/>
    <xf numFmtId="170" fontId="10" fillId="0" borderId="0" xfId="6" applyNumberFormat="1" applyFont="1" applyFill="1" applyBorder="1" applyAlignment="1"/>
    <xf numFmtId="9" fontId="10" fillId="0" borderId="0" xfId="3" applyFont="1" applyFill="1" applyBorder="1" applyAlignment="1"/>
    <xf numFmtId="9" fontId="19" fillId="0" borderId="0" xfId="752" applyNumberFormat="1" applyFont="1" applyBorder="1" applyAlignment="1"/>
    <xf numFmtId="176" fontId="19" fillId="0" borderId="1" xfId="6" applyNumberFormat="1" applyFont="1" applyBorder="1" applyAlignment="1">
      <alignment horizontal="right"/>
    </xf>
    <xf numFmtId="176" fontId="19" fillId="0" borderId="1" xfId="754" applyNumberFormat="1" applyFont="1" applyBorder="1" applyAlignment="1">
      <alignment horizontal="right"/>
    </xf>
    <xf numFmtId="176" fontId="19" fillId="0" borderId="0" xfId="6" applyNumberFormat="1" applyFont="1" applyBorder="1" applyAlignment="1">
      <alignment horizontal="right"/>
    </xf>
    <xf numFmtId="176" fontId="19" fillId="0" borderId="0" xfId="754" applyNumberFormat="1" applyFont="1" applyBorder="1" applyAlignment="1">
      <alignment horizontal="right"/>
    </xf>
    <xf numFmtId="176" fontId="19" fillId="0" borderId="2" xfId="754" applyNumberFormat="1" applyFont="1" applyBorder="1" applyAlignment="1">
      <alignment horizontal="right"/>
    </xf>
    <xf numFmtId="176" fontId="19" fillId="0" borderId="1" xfId="754" applyNumberFormat="1" applyFont="1" applyFill="1" applyBorder="1" applyAlignment="1">
      <alignment horizontal="right"/>
    </xf>
    <xf numFmtId="176" fontId="19" fillId="0" borderId="0" xfId="754" applyNumberFormat="1" applyFont="1" applyFill="1" applyBorder="1" applyAlignment="1">
      <alignment horizontal="right"/>
    </xf>
    <xf numFmtId="176" fontId="19" fillId="0" borderId="2" xfId="754" applyNumberFormat="1" applyFont="1" applyFill="1" applyBorder="1" applyAlignment="1">
      <alignment horizontal="right"/>
    </xf>
    <xf numFmtId="176" fontId="19" fillId="0" borderId="2" xfId="6" applyNumberFormat="1" applyFont="1" applyBorder="1" applyAlignment="1">
      <alignment horizontal="right"/>
    </xf>
    <xf numFmtId="0" fontId="28" fillId="0" borderId="0" xfId="0" applyFont="1" applyBorder="1" applyAlignment="1">
      <alignment horizontal="left" indent="1"/>
    </xf>
    <xf numFmtId="0" fontId="44" fillId="0" borderId="0" xfId="752" applyFont="1" applyBorder="1" applyAlignment="1">
      <alignment horizontal="left"/>
    </xf>
    <xf numFmtId="0" fontId="20" fillId="0" borderId="16" xfId="752" applyFont="1" applyBorder="1" applyAlignment="1">
      <alignment wrapText="1"/>
    </xf>
    <xf numFmtId="0" fontId="20" fillId="0" borderId="17" xfId="752" applyFont="1" applyBorder="1" applyAlignment="1">
      <alignment wrapText="1"/>
    </xf>
    <xf numFmtId="0" fontId="20" fillId="0" borderId="18" xfId="752" applyFont="1" applyBorder="1" applyAlignment="1">
      <alignment wrapText="1"/>
    </xf>
    <xf numFmtId="0" fontId="20" fillId="3" borderId="19" xfId="752" applyFont="1" applyFill="1" applyBorder="1" applyAlignment="1">
      <alignment horizontal="right"/>
    </xf>
    <xf numFmtId="164" fontId="20" fillId="3" borderId="20" xfId="752" applyNumberFormat="1" applyFont="1" applyFill="1" applyBorder="1" applyAlignment="1">
      <alignment horizontal="right"/>
    </xf>
    <xf numFmtId="0" fontId="20" fillId="3" borderId="21" xfId="752" applyFont="1" applyFill="1" applyBorder="1" applyAlignment="1">
      <alignment horizontal="right"/>
    </xf>
    <xf numFmtId="164" fontId="20" fillId="3" borderId="22" xfId="752" applyNumberFormat="1" applyFont="1" applyFill="1" applyBorder="1" applyAlignment="1">
      <alignment horizontal="right"/>
    </xf>
    <xf numFmtId="164" fontId="20" fillId="3" borderId="23" xfId="752" applyNumberFormat="1" applyFont="1" applyFill="1" applyBorder="1" applyAlignment="1">
      <alignment horizontal="right"/>
    </xf>
    <xf numFmtId="175" fontId="10" fillId="3" borderId="1" xfId="0" applyNumberFormat="1" applyFont="1" applyFill="1" applyBorder="1"/>
    <xf numFmtId="165" fontId="10" fillId="0" borderId="0" xfId="0" applyNumberFormat="1" applyFont="1"/>
    <xf numFmtId="9" fontId="10" fillId="0" borderId="0" xfId="3" applyFont="1"/>
    <xf numFmtId="165" fontId="9" fillId="0" borderId="0" xfId="0" applyNumberFormat="1" applyFont="1"/>
    <xf numFmtId="167" fontId="10" fillId="0" borderId="0" xfId="0" applyNumberFormat="1" applyFont="1" applyBorder="1"/>
    <xf numFmtId="167" fontId="9" fillId="0" borderId="0" xfId="0" applyNumberFormat="1" applyFont="1" applyBorder="1"/>
    <xf numFmtId="41" fontId="19" fillId="0" borderId="0" xfId="752" applyNumberFormat="1" applyFont="1" applyBorder="1"/>
    <xf numFmtId="1" fontId="19" fillId="0" borderId="0" xfId="752" applyNumberFormat="1" applyFont="1" applyBorder="1"/>
    <xf numFmtId="177" fontId="16" fillId="0" borderId="5" xfId="0" applyNumberFormat="1" applyFont="1" applyBorder="1" applyAlignment="1">
      <alignment horizontal="center"/>
    </xf>
    <xf numFmtId="177" fontId="16" fillId="0" borderId="1" xfId="0" applyNumberFormat="1" applyFont="1" applyBorder="1" applyAlignment="1">
      <alignment horizontal="center"/>
    </xf>
    <xf numFmtId="177" fontId="16" fillId="0" borderId="6" xfId="0" applyNumberFormat="1" applyFont="1" applyBorder="1" applyAlignment="1">
      <alignment horizontal="center"/>
    </xf>
    <xf numFmtId="177" fontId="16" fillId="0" borderId="9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 horizontal="center"/>
    </xf>
    <xf numFmtId="177" fontId="16" fillId="0" borderId="8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 horizontal="center"/>
    </xf>
    <xf numFmtId="177" fontId="16" fillId="0" borderId="2" xfId="0" applyNumberFormat="1" applyFont="1" applyBorder="1" applyAlignment="1">
      <alignment horizontal="center"/>
    </xf>
    <xf numFmtId="177" fontId="16" fillId="0" borderId="12" xfId="0" applyNumberFormat="1" applyFont="1" applyBorder="1" applyAlignment="1">
      <alignment horizontal="center"/>
    </xf>
    <xf numFmtId="165" fontId="34" fillId="0" borderId="0" xfId="0" applyNumberFormat="1" applyFont="1" applyFill="1" applyBorder="1"/>
    <xf numFmtId="176" fontId="9" fillId="3" borderId="3" xfId="0" applyNumberFormat="1" applyFont="1" applyFill="1" applyBorder="1"/>
    <xf numFmtId="0" fontId="35" fillId="3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6" fillId="3" borderId="5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</cellXfs>
  <cellStyles count="887">
    <cellStyle name="Comma" xfId="97" builtinId="3"/>
    <cellStyle name="Comma 2" xfId="673"/>
    <cellStyle name="Comma 3" xfId="753"/>
    <cellStyle name="Comma 4" xfId="834"/>
    <cellStyle name="Currency" xfId="6" builtinId="4"/>
    <cellStyle name="Currency 2" xfId="634"/>
    <cellStyle name="Currency 3" xfId="754"/>
    <cellStyle name="Currency 4" xfId="833"/>
    <cellStyle name="Followed Hyperlink" xfId="2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Hyperlink" xfId="1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Normal" xfId="0" builtinId="0"/>
    <cellStyle name="Normal 2" xfId="635"/>
    <cellStyle name="Normal 3" xfId="752"/>
    <cellStyle name="Normal 4" xfId="824"/>
    <cellStyle name="Percent" xfId="3" builtinId="5"/>
    <cellStyle name="Percent 2" xfId="636"/>
    <cellStyle name="Percent 3" xfId="75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workbookViewId="0">
      <selection activeCell="C6" sqref="C6"/>
    </sheetView>
  </sheetViews>
  <sheetFormatPr defaultColWidth="11" defaultRowHeight="15.75" x14ac:dyDescent="0.25"/>
  <cols>
    <col min="1" max="1" width="22.5" style="3" bestFit="1" customWidth="1"/>
    <col min="2" max="2" width="18.875" customWidth="1"/>
    <col min="3" max="3" width="7" bestFit="1" customWidth="1"/>
    <col min="4" max="4" width="8.5" customWidth="1"/>
    <col min="5" max="7" width="9.125" customWidth="1"/>
  </cols>
  <sheetData>
    <row r="1" spans="1:7" s="129" customFormat="1" ht="38.1" customHeight="1" x14ac:dyDescent="0.3">
      <c r="A1" s="449" t="s">
        <v>211</v>
      </c>
      <c r="B1" s="450"/>
      <c r="C1" s="450"/>
      <c r="D1" s="450"/>
      <c r="E1" s="450"/>
      <c r="F1" s="450"/>
      <c r="G1" s="451"/>
    </row>
    <row r="2" spans="1:7" x14ac:dyDescent="0.25">
      <c r="A2" s="143" t="s">
        <v>132</v>
      </c>
      <c r="B2" s="141"/>
      <c r="C2" s="141"/>
      <c r="D2" s="141"/>
      <c r="E2" s="141"/>
      <c r="F2" s="141"/>
      <c r="G2" s="142"/>
    </row>
    <row r="3" spans="1:7" s="129" customFormat="1" ht="18.75" x14ac:dyDescent="0.3">
      <c r="A3" s="337" t="s">
        <v>204</v>
      </c>
      <c r="B3" s="130" t="s">
        <v>83</v>
      </c>
      <c r="C3" s="130"/>
      <c r="D3" s="130"/>
      <c r="E3" s="131"/>
      <c r="F3" s="131"/>
      <c r="G3" s="132"/>
    </row>
    <row r="4" spans="1:7" x14ac:dyDescent="0.25">
      <c r="A4" s="133" t="s">
        <v>127</v>
      </c>
      <c r="B4" s="134" t="s">
        <v>85</v>
      </c>
      <c r="C4" s="320">
        <v>2016</v>
      </c>
      <c r="D4" s="338" t="s">
        <v>210</v>
      </c>
      <c r="E4" s="134"/>
      <c r="F4" s="134"/>
      <c r="G4" s="135"/>
    </row>
    <row r="5" spans="1:7" s="3" customFormat="1" x14ac:dyDescent="0.25">
      <c r="A5" s="133"/>
      <c r="B5" s="134" t="s">
        <v>86</v>
      </c>
      <c r="C5" s="321">
        <v>2046</v>
      </c>
      <c r="D5" s="338" t="s">
        <v>209</v>
      </c>
      <c r="E5" s="136"/>
      <c r="F5" s="136"/>
      <c r="G5" s="137"/>
    </row>
    <row r="6" spans="1:7" x14ac:dyDescent="0.25">
      <c r="A6" s="133"/>
      <c r="B6" s="136" t="s">
        <v>84</v>
      </c>
      <c r="C6" s="136">
        <f>C5-C4</f>
        <v>30</v>
      </c>
      <c r="D6" s="136" t="s">
        <v>87</v>
      </c>
      <c r="E6" s="134"/>
      <c r="F6" s="134"/>
      <c r="G6" s="135"/>
    </row>
    <row r="7" spans="1:7" x14ac:dyDescent="0.25">
      <c r="A7" s="133"/>
      <c r="B7" s="134"/>
      <c r="C7" s="134"/>
      <c r="D7" s="134"/>
      <c r="E7" s="134"/>
      <c r="F7" s="134"/>
      <c r="G7" s="135"/>
    </row>
    <row r="8" spans="1:7" s="3" customFormat="1" x14ac:dyDescent="0.25">
      <c r="A8" s="133"/>
      <c r="B8" s="136" t="s">
        <v>126</v>
      </c>
      <c r="C8" s="136"/>
      <c r="D8" s="136"/>
      <c r="E8" s="136"/>
      <c r="F8" s="136"/>
      <c r="G8" s="137"/>
    </row>
    <row r="9" spans="1:7" x14ac:dyDescent="0.25">
      <c r="A9" s="133"/>
      <c r="B9" s="134" t="s">
        <v>8</v>
      </c>
      <c r="C9" s="322">
        <v>0</v>
      </c>
      <c r="D9" s="134"/>
      <c r="E9" s="134"/>
      <c r="F9" s="134"/>
      <c r="G9" s="135"/>
    </row>
    <row r="10" spans="1:7" x14ac:dyDescent="0.25">
      <c r="A10" s="133"/>
      <c r="B10" s="134" t="s">
        <v>6</v>
      </c>
      <c r="C10" s="323">
        <v>3.3750000000000002E-2</v>
      </c>
      <c r="D10" s="134" t="s">
        <v>131</v>
      </c>
      <c r="E10" s="134"/>
      <c r="F10" s="134"/>
      <c r="G10" s="135"/>
    </row>
    <row r="11" spans="1:7" x14ac:dyDescent="0.25">
      <c r="A11" s="133"/>
      <c r="B11" s="134" t="s">
        <v>7</v>
      </c>
      <c r="C11" s="324">
        <v>0.05</v>
      </c>
      <c r="D11" s="134"/>
      <c r="E11" s="134"/>
      <c r="F11" s="134"/>
      <c r="G11" s="135"/>
    </row>
    <row r="12" spans="1:7" x14ac:dyDescent="0.25">
      <c r="A12" s="133"/>
      <c r="B12" s="134"/>
      <c r="C12" s="134"/>
      <c r="D12" s="134"/>
      <c r="E12" s="134"/>
      <c r="F12" s="134"/>
      <c r="G12" s="135"/>
    </row>
    <row r="13" spans="1:7" x14ac:dyDescent="0.25">
      <c r="A13" s="133" t="s">
        <v>125</v>
      </c>
      <c r="B13" s="134"/>
      <c r="C13" s="134"/>
      <c r="D13" s="134"/>
      <c r="E13" s="346"/>
      <c r="F13" s="134"/>
      <c r="G13" s="135"/>
    </row>
    <row r="14" spans="1:7" x14ac:dyDescent="0.25">
      <c r="A14" s="339"/>
      <c r="B14" s="139" t="s">
        <v>208</v>
      </c>
      <c r="C14" s="139"/>
      <c r="D14" s="139"/>
      <c r="E14" s="134"/>
      <c r="F14" s="134"/>
      <c r="G14" s="135"/>
    </row>
    <row r="15" spans="1:7" x14ac:dyDescent="0.25">
      <c r="A15" s="339" t="s">
        <v>205</v>
      </c>
      <c r="B15" s="341" t="s">
        <v>252</v>
      </c>
      <c r="C15" s="340"/>
      <c r="D15" s="342"/>
      <c r="E15" s="134"/>
      <c r="F15" s="134"/>
      <c r="G15" s="135"/>
    </row>
    <row r="16" spans="1:7" x14ac:dyDescent="0.25">
      <c r="A16" s="339" t="s">
        <v>206</v>
      </c>
      <c r="B16" s="341" t="s">
        <v>267</v>
      </c>
      <c r="C16" s="340"/>
      <c r="D16" s="342"/>
      <c r="E16" s="134"/>
      <c r="F16" s="134"/>
      <c r="G16" s="135"/>
    </row>
    <row r="17" spans="1:7" x14ac:dyDescent="0.25">
      <c r="A17" s="339" t="s">
        <v>207</v>
      </c>
      <c r="B17" s="343" t="s">
        <v>251</v>
      </c>
      <c r="C17" s="344"/>
      <c r="D17" s="345"/>
      <c r="E17" s="134"/>
      <c r="F17" s="134"/>
      <c r="G17" s="135"/>
    </row>
    <row r="18" spans="1:7" x14ac:dyDescent="0.25">
      <c r="A18" s="133"/>
      <c r="B18" s="134"/>
      <c r="C18" s="134"/>
      <c r="D18" s="134"/>
      <c r="E18" s="134"/>
      <c r="F18" s="134"/>
      <c r="G18" s="135"/>
    </row>
    <row r="19" spans="1:7" x14ac:dyDescent="0.25">
      <c r="A19" s="138"/>
      <c r="B19" s="139"/>
      <c r="C19" s="139"/>
      <c r="D19" s="139"/>
      <c r="E19" s="139"/>
      <c r="F19" s="139"/>
      <c r="G19" s="140"/>
    </row>
  </sheetData>
  <mergeCells count="1">
    <mergeCell ref="A1:G1"/>
  </mergeCells>
  <phoneticPr fontId="32" type="noConversion"/>
  <pageMargins left="0.7" right="0.7" top="0.75" bottom="0.75" header="0.3" footer="0.3"/>
  <pageSetup orientation="portrait" r:id="rId1"/>
  <headerFooter>
    <oddFooter>&amp;LSheet 1: Project Assumptions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="85" zoomScaleNormal="85" zoomScalePageLayoutView="85" workbookViewId="0">
      <selection activeCell="A19" sqref="A19:XFD19"/>
    </sheetView>
  </sheetViews>
  <sheetFormatPr defaultColWidth="10.875" defaultRowHeight="15" x14ac:dyDescent="0.25"/>
  <cols>
    <col min="1" max="1" width="38.125" style="4" bestFit="1" customWidth="1"/>
    <col min="2" max="2" width="6" style="9" customWidth="1"/>
    <col min="3" max="3" width="12.875" style="9" customWidth="1"/>
    <col min="4" max="5" width="12.875" style="4" customWidth="1"/>
    <col min="6" max="6" width="5.5" style="1" customWidth="1"/>
    <col min="7" max="9" width="12.625" style="1" customWidth="1"/>
    <col min="10" max="10" width="5.5" style="1" customWidth="1"/>
    <col min="11" max="13" width="12.875" style="1" customWidth="1"/>
    <col min="14" max="14" width="5.5" style="1" customWidth="1"/>
    <col min="15" max="17" width="12.875" style="1" customWidth="1"/>
    <col min="18" max="18" width="16.375" style="1" customWidth="1"/>
    <col min="19" max="16384" width="10.875" style="1"/>
  </cols>
  <sheetData>
    <row r="1" spans="1:19" s="91" customFormat="1" ht="18.75" x14ac:dyDescent="0.3">
      <c r="A1" s="92" t="s">
        <v>114</v>
      </c>
      <c r="B1" s="90"/>
      <c r="C1" s="90" t="str">
        <f>Project_Assumptions!B14</f>
        <v>No Action</v>
      </c>
      <c r="D1" s="93"/>
      <c r="F1" s="90"/>
      <c r="G1" s="90" t="str">
        <f>Project_Assumptions!$B$15</f>
        <v>North</v>
      </c>
      <c r="H1" s="90"/>
      <c r="I1" s="90"/>
      <c r="J1" s="90"/>
      <c r="K1" s="90" t="str">
        <f>Project_Assumptions!B16</f>
        <v>Middle</v>
      </c>
      <c r="L1" s="90"/>
      <c r="M1" s="90"/>
      <c r="O1" s="90" t="str">
        <f>Project_Assumptions!B17</f>
        <v>South</v>
      </c>
      <c r="P1" s="90"/>
      <c r="Q1" s="90"/>
    </row>
    <row r="2" spans="1:19" x14ac:dyDescent="0.25">
      <c r="A2" s="303" t="s">
        <v>115</v>
      </c>
    </row>
    <row r="3" spans="1:19" s="83" customFormat="1" ht="15.75" x14ac:dyDescent="0.25">
      <c r="A3" s="81" t="s">
        <v>119</v>
      </c>
      <c r="B3" s="88" t="s">
        <v>0</v>
      </c>
      <c r="C3" s="88" t="s">
        <v>8</v>
      </c>
      <c r="D3" s="89" t="s">
        <v>6</v>
      </c>
      <c r="E3" s="89" t="s">
        <v>7</v>
      </c>
      <c r="G3" s="88" t="s">
        <v>8</v>
      </c>
      <c r="H3" s="89" t="s">
        <v>6</v>
      </c>
      <c r="I3" s="89" t="s">
        <v>7</v>
      </c>
      <c r="K3" s="88" t="s">
        <v>8</v>
      </c>
      <c r="L3" s="89" t="s">
        <v>6</v>
      </c>
      <c r="M3" s="89" t="s">
        <v>7</v>
      </c>
      <c r="O3" s="88" t="s">
        <v>8</v>
      </c>
      <c r="P3" s="89" t="s">
        <v>6</v>
      </c>
      <c r="Q3" s="89" t="s">
        <v>7</v>
      </c>
      <c r="R3" s="82" t="s">
        <v>9</v>
      </c>
    </row>
    <row r="4" spans="1:19" s="2" customFormat="1" x14ac:dyDescent="0.25">
      <c r="A4" s="350" t="s">
        <v>214</v>
      </c>
      <c r="B4" s="80"/>
      <c r="C4" s="94">
        <f>C5*C6</f>
        <v>0</v>
      </c>
      <c r="D4" s="95">
        <f t="shared" ref="D4:E4" si="0">D5*D6</f>
        <v>0</v>
      </c>
      <c r="E4" s="96">
        <f t="shared" si="0"/>
        <v>0</v>
      </c>
      <c r="G4" s="94">
        <f t="shared" ref="G4:I4" si="1">G5*G6</f>
        <v>0</v>
      </c>
      <c r="H4" s="95">
        <f t="shared" si="1"/>
        <v>0</v>
      </c>
      <c r="I4" s="96">
        <f t="shared" si="1"/>
        <v>0</v>
      </c>
      <c r="K4" s="94">
        <f t="shared" ref="K4:M4" si="2">K5*K6</f>
        <v>272000</v>
      </c>
      <c r="L4" s="95">
        <f t="shared" si="2"/>
        <v>300000</v>
      </c>
      <c r="M4" s="96">
        <f t="shared" si="2"/>
        <v>390000</v>
      </c>
      <c r="O4" s="94">
        <f t="shared" ref="O4:Q4" si="3">O5*O6</f>
        <v>681000</v>
      </c>
      <c r="P4" s="95">
        <f t="shared" si="3"/>
        <v>750000</v>
      </c>
      <c r="Q4" s="96">
        <f t="shared" si="3"/>
        <v>975000</v>
      </c>
      <c r="R4" s="1"/>
    </row>
    <row r="5" spans="1:19" x14ac:dyDescent="0.25">
      <c r="A5" s="351" t="s">
        <v>96</v>
      </c>
      <c r="B5" s="9" t="s">
        <v>3</v>
      </c>
      <c r="C5" s="304"/>
      <c r="D5" s="305"/>
      <c r="E5" s="306"/>
      <c r="F5" s="213"/>
      <c r="G5" s="304">
        <v>0</v>
      </c>
      <c r="H5" s="305">
        <v>0</v>
      </c>
      <c r="I5" s="306">
        <v>0</v>
      </c>
      <c r="J5" s="213"/>
      <c r="K5" s="304">
        <v>400</v>
      </c>
      <c r="L5" s="305">
        <v>400</v>
      </c>
      <c r="M5" s="306">
        <v>400</v>
      </c>
      <c r="O5" s="304">
        <v>3000</v>
      </c>
      <c r="P5" s="305">
        <v>3000</v>
      </c>
      <c r="Q5" s="306">
        <v>3000</v>
      </c>
      <c r="R5" s="213"/>
    </row>
    <row r="6" spans="1:19" x14ac:dyDescent="0.25">
      <c r="A6" s="351" t="s">
        <v>113</v>
      </c>
      <c r="B6" s="9" t="s">
        <v>107</v>
      </c>
      <c r="C6" s="308"/>
      <c r="D6" s="309"/>
      <c r="E6" s="310"/>
      <c r="G6" s="308"/>
      <c r="H6" s="309"/>
      <c r="I6" s="310"/>
      <c r="K6" s="308">
        <v>680</v>
      </c>
      <c r="L6" s="309">
        <v>750</v>
      </c>
      <c r="M6" s="310">
        <v>975</v>
      </c>
      <c r="O6" s="308">
        <v>227</v>
      </c>
      <c r="P6" s="309">
        <v>250</v>
      </c>
      <c r="Q6" s="310">
        <v>325</v>
      </c>
      <c r="R6" s="77" t="s">
        <v>249</v>
      </c>
    </row>
    <row r="7" spans="1:19" s="2" customFormat="1" x14ac:dyDescent="0.25">
      <c r="A7" s="350" t="s">
        <v>5</v>
      </c>
      <c r="B7" s="84"/>
      <c r="C7" s="100">
        <f>C8*C9</f>
        <v>0</v>
      </c>
      <c r="D7" s="98">
        <f>D8*D9</f>
        <v>0</v>
      </c>
      <c r="E7" s="99">
        <f>E8*E9</f>
        <v>0</v>
      </c>
      <c r="G7" s="100">
        <f>G8*G9</f>
        <v>117000</v>
      </c>
      <c r="H7" s="98">
        <f>H8*H9</f>
        <v>143000</v>
      </c>
      <c r="I7" s="99">
        <f>I8*I9</f>
        <v>169000</v>
      </c>
      <c r="K7" s="100">
        <f>K8*K9</f>
        <v>45000</v>
      </c>
      <c r="L7" s="98">
        <f>L8*L9</f>
        <v>55000</v>
      </c>
      <c r="M7" s="99">
        <f>M8*M9</f>
        <v>65000</v>
      </c>
      <c r="O7" s="100">
        <f>O8*O9</f>
        <v>7650</v>
      </c>
      <c r="P7" s="98">
        <f>P8*P9</f>
        <v>9350</v>
      </c>
      <c r="Q7" s="99">
        <f>Q8*Q9</f>
        <v>11050</v>
      </c>
      <c r="R7" s="85"/>
    </row>
    <row r="8" spans="1:19" x14ac:dyDescent="0.25">
      <c r="A8" s="351" t="s">
        <v>108</v>
      </c>
      <c r="B8" s="10" t="s">
        <v>1</v>
      </c>
      <c r="C8" s="304"/>
      <c r="D8" s="305"/>
      <c r="E8" s="306"/>
      <c r="F8" s="213"/>
      <c r="G8" s="304">
        <v>13000</v>
      </c>
      <c r="H8" s="305">
        <v>13000</v>
      </c>
      <c r="I8" s="306">
        <v>13000</v>
      </c>
      <c r="J8" s="213"/>
      <c r="K8" s="304">
        <v>5000</v>
      </c>
      <c r="L8" s="305">
        <v>5000</v>
      </c>
      <c r="M8" s="306">
        <v>5000</v>
      </c>
      <c r="O8" s="304">
        <v>850</v>
      </c>
      <c r="P8" s="305">
        <v>850</v>
      </c>
      <c r="Q8" s="306">
        <v>850</v>
      </c>
      <c r="R8" s="214"/>
      <c r="S8" s="434"/>
    </row>
    <row r="9" spans="1:19" x14ac:dyDescent="0.25">
      <c r="A9" s="351" t="s">
        <v>109</v>
      </c>
      <c r="B9" s="10" t="s">
        <v>107</v>
      </c>
      <c r="C9" s="314"/>
      <c r="D9" s="312"/>
      <c r="E9" s="313"/>
      <c r="G9" s="314">
        <v>9</v>
      </c>
      <c r="H9" s="312">
        <v>11</v>
      </c>
      <c r="I9" s="313">
        <v>13</v>
      </c>
      <c r="K9" s="314">
        <v>9</v>
      </c>
      <c r="L9" s="312">
        <v>11</v>
      </c>
      <c r="M9" s="313">
        <v>13</v>
      </c>
      <c r="O9" s="314">
        <v>9</v>
      </c>
      <c r="P9" s="312">
        <v>11</v>
      </c>
      <c r="Q9" s="313">
        <v>13</v>
      </c>
      <c r="R9" s="77" t="s">
        <v>111</v>
      </c>
    </row>
    <row r="10" spans="1:19" s="2" customFormat="1" x14ac:dyDescent="0.25">
      <c r="A10" s="350" t="s">
        <v>213</v>
      </c>
      <c r="B10" s="80"/>
      <c r="C10" s="97">
        <f>C11*C12</f>
        <v>0</v>
      </c>
      <c r="D10" s="98">
        <f>D11*D12</f>
        <v>0</v>
      </c>
      <c r="E10" s="99">
        <f>E11*E12</f>
        <v>0</v>
      </c>
      <c r="G10" s="97">
        <f>G11*G12</f>
        <v>1640000</v>
      </c>
      <c r="H10" s="98">
        <f>H11*H12</f>
        <v>1800000</v>
      </c>
      <c r="I10" s="99">
        <f>I11*I12</f>
        <v>2340000</v>
      </c>
      <c r="K10" s="97">
        <f>K11*K12</f>
        <v>1230000</v>
      </c>
      <c r="L10" s="98">
        <f>L11*L12</f>
        <v>1350000</v>
      </c>
      <c r="M10" s="99">
        <f>M11*M12</f>
        <v>1755000</v>
      </c>
      <c r="O10" s="97">
        <f>O11*O12</f>
        <v>1230000</v>
      </c>
      <c r="P10" s="98">
        <f>P11*P12</f>
        <v>1350000</v>
      </c>
      <c r="Q10" s="99">
        <f>Q11*Q12</f>
        <v>1755000</v>
      </c>
      <c r="R10" s="85"/>
    </row>
    <row r="11" spans="1:19" x14ac:dyDescent="0.25">
      <c r="A11" s="351" t="s">
        <v>112</v>
      </c>
      <c r="B11" s="9" t="s">
        <v>3</v>
      </c>
      <c r="C11" s="304"/>
      <c r="D11" s="305"/>
      <c r="E11" s="306"/>
      <c r="F11" s="213"/>
      <c r="G11" s="304">
        <v>4000</v>
      </c>
      <c r="H11" s="305">
        <v>4000</v>
      </c>
      <c r="I11" s="306">
        <v>4000</v>
      </c>
      <c r="J11" s="213"/>
      <c r="K11" s="304">
        <v>3000</v>
      </c>
      <c r="L11" s="305">
        <v>3000</v>
      </c>
      <c r="M11" s="306">
        <v>3000</v>
      </c>
      <c r="O11" s="304">
        <v>3000</v>
      </c>
      <c r="P11" s="305">
        <v>3000</v>
      </c>
      <c r="Q11" s="306">
        <v>3000</v>
      </c>
      <c r="R11" s="214"/>
    </row>
    <row r="12" spans="1:19" x14ac:dyDescent="0.25">
      <c r="A12" s="351" t="s">
        <v>113</v>
      </c>
      <c r="B12" s="9" t="s">
        <v>107</v>
      </c>
      <c r="C12" s="311"/>
      <c r="D12" s="312"/>
      <c r="E12" s="313"/>
      <c r="G12" s="311">
        <v>410</v>
      </c>
      <c r="H12" s="312">
        <v>450</v>
      </c>
      <c r="I12" s="313">
        <v>585</v>
      </c>
      <c r="K12" s="311">
        <v>410</v>
      </c>
      <c r="L12" s="312">
        <v>450</v>
      </c>
      <c r="M12" s="313">
        <v>585</v>
      </c>
      <c r="O12" s="311">
        <v>410</v>
      </c>
      <c r="P12" s="312">
        <v>450</v>
      </c>
      <c r="Q12" s="313">
        <v>585</v>
      </c>
      <c r="R12" s="77" t="s">
        <v>118</v>
      </c>
    </row>
    <row r="13" spans="1:19" s="2" customFormat="1" x14ac:dyDescent="0.25">
      <c r="A13" s="350" t="s">
        <v>13</v>
      </c>
      <c r="B13" s="84"/>
      <c r="C13" s="97">
        <f>C14*C15</f>
        <v>0</v>
      </c>
      <c r="D13" s="98">
        <f>D14*D15</f>
        <v>0</v>
      </c>
      <c r="E13" s="99">
        <f>E14*E15</f>
        <v>0</v>
      </c>
      <c r="G13" s="97">
        <f>G14*G15</f>
        <v>528000</v>
      </c>
      <c r="H13" s="98">
        <f>H14*H15</f>
        <v>1452000</v>
      </c>
      <c r="I13" s="99">
        <f>I14*I15</f>
        <v>5940000</v>
      </c>
      <c r="K13" s="97">
        <f>K14*K15</f>
        <v>140000</v>
      </c>
      <c r="L13" s="98">
        <f>L14*L15</f>
        <v>385000</v>
      </c>
      <c r="M13" s="99">
        <f>M14*M15</f>
        <v>1575000</v>
      </c>
      <c r="O13" s="97">
        <f>O14*O15</f>
        <v>112000</v>
      </c>
      <c r="P13" s="98">
        <f>P14*P15</f>
        <v>308000</v>
      </c>
      <c r="Q13" s="99">
        <f>Q14*Q15</f>
        <v>1260000</v>
      </c>
      <c r="R13" s="77"/>
    </row>
    <row r="14" spans="1:19" s="2" customFormat="1" x14ac:dyDescent="0.25">
      <c r="A14" s="351" t="s">
        <v>117</v>
      </c>
      <c r="B14" s="10" t="s">
        <v>2</v>
      </c>
      <c r="C14" s="304"/>
      <c r="D14" s="305"/>
      <c r="E14" s="306"/>
      <c r="F14" s="213"/>
      <c r="G14" s="304">
        <v>132</v>
      </c>
      <c r="H14" s="305">
        <v>132</v>
      </c>
      <c r="I14" s="306">
        <v>132</v>
      </c>
      <c r="J14" s="213"/>
      <c r="K14" s="304">
        <v>35</v>
      </c>
      <c r="L14" s="305">
        <v>35</v>
      </c>
      <c r="M14" s="306">
        <v>35</v>
      </c>
      <c r="O14" s="304">
        <v>28</v>
      </c>
      <c r="P14" s="305">
        <v>28</v>
      </c>
      <c r="Q14" s="306">
        <v>28</v>
      </c>
      <c r="R14" s="214"/>
      <c r="S14" s="435"/>
    </row>
    <row r="15" spans="1:19" s="2" customFormat="1" x14ac:dyDescent="0.25">
      <c r="A15" s="351" t="s">
        <v>116</v>
      </c>
      <c r="B15" s="10" t="s">
        <v>107</v>
      </c>
      <c r="C15" s="311"/>
      <c r="D15" s="312"/>
      <c r="E15" s="313"/>
      <c r="G15" s="311">
        <v>4000</v>
      </c>
      <c r="H15" s="312">
        <v>11000</v>
      </c>
      <c r="I15" s="313">
        <v>45000</v>
      </c>
      <c r="K15" s="311">
        <v>4000</v>
      </c>
      <c r="L15" s="312">
        <v>11000</v>
      </c>
      <c r="M15" s="313">
        <v>45000</v>
      </c>
      <c r="O15" s="311">
        <v>4000</v>
      </c>
      <c r="P15" s="312">
        <v>11000</v>
      </c>
      <c r="Q15" s="313">
        <v>45000</v>
      </c>
      <c r="R15" s="77" t="s">
        <v>212</v>
      </c>
    </row>
    <row r="16" spans="1:19" s="2" customFormat="1" x14ac:dyDescent="0.25">
      <c r="A16" s="79" t="s">
        <v>247</v>
      </c>
      <c r="B16" s="10"/>
      <c r="C16" s="315"/>
      <c r="D16" s="316"/>
      <c r="E16" s="317"/>
      <c r="G16" s="347">
        <v>0.05</v>
      </c>
      <c r="H16" s="348">
        <v>0.05</v>
      </c>
      <c r="I16" s="349">
        <v>0.05</v>
      </c>
      <c r="K16" s="347">
        <v>0.05</v>
      </c>
      <c r="L16" s="348">
        <v>0.05</v>
      </c>
      <c r="M16" s="349">
        <v>0.05</v>
      </c>
      <c r="O16" s="347">
        <v>0.05</v>
      </c>
      <c r="P16" s="348">
        <v>0.05</v>
      </c>
      <c r="Q16" s="349">
        <v>0.05</v>
      </c>
      <c r="R16" s="77"/>
    </row>
    <row r="17" spans="1:18" s="2" customFormat="1" x14ac:dyDescent="0.25">
      <c r="A17" s="79" t="s">
        <v>248</v>
      </c>
      <c r="B17" s="10"/>
      <c r="C17" s="315"/>
      <c r="D17" s="316"/>
      <c r="E17" s="317"/>
      <c r="G17" s="347">
        <v>0.01</v>
      </c>
      <c r="H17" s="348">
        <v>0.02</v>
      </c>
      <c r="I17" s="349">
        <v>0.03</v>
      </c>
      <c r="K17" s="347">
        <v>0.01</v>
      </c>
      <c r="L17" s="348">
        <v>0.02</v>
      </c>
      <c r="M17" s="349">
        <v>0.03</v>
      </c>
      <c r="O17" s="347">
        <v>0.01</v>
      </c>
      <c r="P17" s="348">
        <v>0.02</v>
      </c>
      <c r="Q17" s="349">
        <v>0.03</v>
      </c>
      <c r="R17" s="77" t="s">
        <v>138</v>
      </c>
    </row>
    <row r="18" spans="1:18" s="85" customFormat="1" x14ac:dyDescent="0.25">
      <c r="A18" s="350"/>
      <c r="B18" s="407"/>
      <c r="C18" s="408"/>
      <c r="D18" s="408"/>
      <c r="E18" s="408"/>
      <c r="G18" s="409"/>
      <c r="H18" s="409"/>
      <c r="I18" s="409"/>
      <c r="K18" s="409"/>
      <c r="L18" s="409"/>
      <c r="M18" s="409"/>
      <c r="O18" s="409"/>
      <c r="P18" s="409"/>
      <c r="Q18" s="409"/>
      <c r="R18" s="77"/>
    </row>
    <row r="19" spans="1:18" x14ac:dyDescent="0.25">
      <c r="A19" s="11"/>
    </row>
    <row r="20" spans="1:18" x14ac:dyDescent="0.25">
      <c r="A20" s="361" t="s">
        <v>91</v>
      </c>
      <c r="B20" s="362"/>
      <c r="C20" s="362"/>
      <c r="D20" s="361"/>
      <c r="E20" s="361"/>
    </row>
    <row r="21" spans="1:18" s="2" customFormat="1" x14ac:dyDescent="0.25">
      <c r="A21" s="11" t="s">
        <v>123</v>
      </c>
      <c r="B21" s="9"/>
      <c r="C21" s="352">
        <v>1500000</v>
      </c>
      <c r="D21" s="4"/>
      <c r="E21" s="4" t="s">
        <v>221</v>
      </c>
    </row>
    <row r="22" spans="1:18" x14ac:dyDescent="0.25">
      <c r="A22" s="75" t="s">
        <v>92</v>
      </c>
      <c r="C22" s="307">
        <f>400000</f>
        <v>400000</v>
      </c>
    </row>
    <row r="23" spans="1:18" x14ac:dyDescent="0.25">
      <c r="A23" s="75" t="s">
        <v>93</v>
      </c>
      <c r="C23" s="318">
        <v>7</v>
      </c>
      <c r="H23" s="150"/>
      <c r="I23" s="150"/>
    </row>
    <row r="24" spans="1:18" x14ac:dyDescent="0.25">
      <c r="A24" s="75" t="s">
        <v>94</v>
      </c>
      <c r="C24" s="319">
        <v>25</v>
      </c>
      <c r="E24" s="4" t="s">
        <v>223</v>
      </c>
    </row>
    <row r="25" spans="1:18" x14ac:dyDescent="0.25">
      <c r="A25" s="353" t="s">
        <v>95</v>
      </c>
      <c r="B25" s="354"/>
      <c r="C25" s="358">
        <v>34000</v>
      </c>
      <c r="D25" s="355"/>
      <c r="E25" s="355"/>
    </row>
    <row r="26" spans="1:18" x14ac:dyDescent="0.25">
      <c r="A26" s="356" t="s">
        <v>215</v>
      </c>
      <c r="B26" s="76"/>
      <c r="C26" s="357">
        <v>2100000</v>
      </c>
      <c r="D26" s="18"/>
      <c r="E26" s="18" t="s">
        <v>222</v>
      </c>
    </row>
    <row r="27" spans="1:18" x14ac:dyDescent="0.25">
      <c r="A27" s="79" t="s">
        <v>216</v>
      </c>
      <c r="B27" s="80"/>
      <c r="C27" s="359">
        <f>C21+C25+C26</f>
        <v>3634000</v>
      </c>
      <c r="D27" s="360">
        <f>C27/3</f>
        <v>1211333.3333333333</v>
      </c>
      <c r="E27" s="5" t="s">
        <v>217</v>
      </c>
    </row>
    <row r="28" spans="1:18" x14ac:dyDescent="0.25">
      <c r="A28" s="11"/>
    </row>
    <row r="29" spans="1:18" x14ac:dyDescent="0.25">
      <c r="A29" s="11"/>
    </row>
    <row r="30" spans="1:18" x14ac:dyDescent="0.25">
      <c r="A30" s="11"/>
    </row>
    <row r="31" spans="1:18" x14ac:dyDescent="0.25">
      <c r="A31" s="11"/>
    </row>
    <row r="32" spans="1:18" x14ac:dyDescent="0.25">
      <c r="A32" s="11"/>
    </row>
    <row r="33" spans="1:12" x14ac:dyDescent="0.25">
      <c r="A33" s="11"/>
    </row>
    <row r="34" spans="1:12" x14ac:dyDescent="0.25">
      <c r="A34" s="11"/>
    </row>
    <row r="35" spans="1:12" x14ac:dyDescent="0.25">
      <c r="A35" s="11"/>
    </row>
    <row r="36" spans="1:12" x14ac:dyDescent="0.25">
      <c r="A36" s="11"/>
    </row>
    <row r="38" spans="1:12" x14ac:dyDescent="0.25">
      <c r="A38" s="18" t="s">
        <v>102</v>
      </c>
      <c r="B38" s="76"/>
      <c r="C38" s="76"/>
      <c r="D38" s="18"/>
      <c r="E38" s="18"/>
    </row>
    <row r="39" spans="1:12" x14ac:dyDescent="0.25">
      <c r="A39" s="420" t="s">
        <v>97</v>
      </c>
    </row>
    <row r="40" spans="1:12" x14ac:dyDescent="0.25">
      <c r="A40" s="401" t="s">
        <v>250</v>
      </c>
      <c r="B40" s="401" t="s">
        <v>251</v>
      </c>
      <c r="C40" s="401" t="s">
        <v>6</v>
      </c>
      <c r="D40" s="401" t="s">
        <v>252</v>
      </c>
      <c r="E40" s="401" t="s">
        <v>253</v>
      </c>
      <c r="F40" s="401"/>
      <c r="G40" s="401" t="s">
        <v>204</v>
      </c>
      <c r="H40" s="401" t="s">
        <v>251</v>
      </c>
      <c r="I40" s="401" t="s">
        <v>6</v>
      </c>
      <c r="J40" s="401" t="s">
        <v>252</v>
      </c>
      <c r="K40" s="401" t="s">
        <v>253</v>
      </c>
      <c r="L40" s="68" t="s">
        <v>260</v>
      </c>
    </row>
    <row r="41" spans="1:12" x14ac:dyDescent="0.25">
      <c r="A41" s="119" t="s">
        <v>254</v>
      </c>
      <c r="B41" s="119">
        <v>21.5</v>
      </c>
      <c r="C41" s="119">
        <v>65</v>
      </c>
      <c r="D41" s="119">
        <v>52</v>
      </c>
      <c r="E41" s="119">
        <f>SUM(B41:D41)</f>
        <v>138.5</v>
      </c>
      <c r="F41" s="119"/>
      <c r="G41" s="119" t="s">
        <v>255</v>
      </c>
      <c r="H41" s="119">
        <v>0</v>
      </c>
      <c r="I41" s="119">
        <v>40</v>
      </c>
      <c r="J41" s="119">
        <v>0</v>
      </c>
      <c r="K41" s="119">
        <f>SUM(H41:J41)</f>
        <v>40</v>
      </c>
      <c r="L41" s="68">
        <f>K41-E41</f>
        <v>-98.5</v>
      </c>
    </row>
    <row r="42" spans="1:12" x14ac:dyDescent="0.25">
      <c r="A42" s="119" t="s">
        <v>256</v>
      </c>
      <c r="B42" s="119">
        <v>6.5</v>
      </c>
      <c r="C42" s="119">
        <v>8</v>
      </c>
      <c r="D42" s="119">
        <v>72</v>
      </c>
      <c r="E42" s="119">
        <f t="shared" ref="E42:E45" si="4">SUM(B42:D42)</f>
        <v>86.5</v>
      </c>
      <c r="F42" s="119"/>
      <c r="G42" s="119" t="s">
        <v>256</v>
      </c>
      <c r="H42" s="119">
        <v>2</v>
      </c>
      <c r="I42" s="119">
        <v>0</v>
      </c>
      <c r="J42" s="119">
        <v>46</v>
      </c>
      <c r="K42" s="119">
        <f t="shared" ref="K42:K45" si="5">SUM(H42:J42)</f>
        <v>48</v>
      </c>
      <c r="L42" s="68">
        <f t="shared" ref="L42:L45" si="6">K42-E42</f>
        <v>-38.5</v>
      </c>
    </row>
    <row r="43" spans="1:12" x14ac:dyDescent="0.25">
      <c r="A43" s="119" t="s">
        <v>257</v>
      </c>
      <c r="B43" s="119">
        <v>0</v>
      </c>
      <c r="C43" s="119">
        <v>0</v>
      </c>
      <c r="D43" s="119">
        <v>0</v>
      </c>
      <c r="E43" s="119">
        <f t="shared" si="4"/>
        <v>0</v>
      </c>
      <c r="F43" s="119"/>
      <c r="G43" s="119" t="s">
        <v>257</v>
      </c>
      <c r="H43" s="119">
        <v>18</v>
      </c>
      <c r="I43" s="119">
        <v>35</v>
      </c>
      <c r="J43" s="119">
        <v>56</v>
      </c>
      <c r="K43" s="119">
        <f t="shared" si="5"/>
        <v>109</v>
      </c>
      <c r="L43" s="68">
        <f t="shared" si="6"/>
        <v>109</v>
      </c>
    </row>
    <row r="44" spans="1:12" x14ac:dyDescent="0.25">
      <c r="A44" s="119" t="s">
        <v>258</v>
      </c>
      <c r="B44" s="119">
        <v>0</v>
      </c>
      <c r="C44" s="119">
        <v>0</v>
      </c>
      <c r="D44" s="119">
        <v>0</v>
      </c>
      <c r="E44" s="119">
        <f t="shared" si="4"/>
        <v>0</v>
      </c>
      <c r="F44" s="119"/>
      <c r="G44" s="119" t="s">
        <v>258</v>
      </c>
      <c r="H44" s="119">
        <v>8</v>
      </c>
      <c r="I44" s="119">
        <v>0</v>
      </c>
      <c r="J44" s="119">
        <v>0</v>
      </c>
      <c r="K44" s="119">
        <f t="shared" si="5"/>
        <v>8</v>
      </c>
      <c r="L44" s="68">
        <f t="shared" si="6"/>
        <v>8</v>
      </c>
    </row>
    <row r="45" spans="1:12" x14ac:dyDescent="0.25">
      <c r="A45" s="119" t="s">
        <v>259</v>
      </c>
      <c r="B45" s="119">
        <v>0</v>
      </c>
      <c r="C45" s="119">
        <v>0</v>
      </c>
      <c r="D45" s="119">
        <v>0</v>
      </c>
      <c r="E45" s="119">
        <f t="shared" si="4"/>
        <v>0</v>
      </c>
      <c r="F45" s="119"/>
      <c r="G45" s="119" t="s">
        <v>259</v>
      </c>
      <c r="H45" s="119">
        <v>0</v>
      </c>
      <c r="I45" s="119">
        <v>0</v>
      </c>
      <c r="J45" s="119">
        <v>30</v>
      </c>
      <c r="K45" s="119">
        <f t="shared" si="5"/>
        <v>30</v>
      </c>
      <c r="L45" s="68">
        <f t="shared" si="6"/>
        <v>30</v>
      </c>
    </row>
    <row r="46" spans="1:12" x14ac:dyDescent="0.25">
      <c r="A46" s="401" t="s">
        <v>253</v>
      </c>
      <c r="B46" s="401">
        <f t="shared" ref="B46:D46" si="7">SUM(B41:B45)</f>
        <v>28</v>
      </c>
      <c r="C46" s="401">
        <f t="shared" si="7"/>
        <v>73</v>
      </c>
      <c r="D46" s="401">
        <f t="shared" si="7"/>
        <v>124</v>
      </c>
      <c r="E46" s="401">
        <f>SUM(E41:E45)</f>
        <v>225</v>
      </c>
      <c r="F46" s="401"/>
      <c r="G46" s="401" t="s">
        <v>253</v>
      </c>
      <c r="H46" s="401">
        <f t="shared" ref="H46:K46" si="8">SUM(H41:H45)</f>
        <v>28</v>
      </c>
      <c r="I46" s="401">
        <f t="shared" si="8"/>
        <v>75</v>
      </c>
      <c r="J46" s="401">
        <f t="shared" si="8"/>
        <v>132</v>
      </c>
      <c r="K46" s="401">
        <f t="shared" si="8"/>
        <v>235</v>
      </c>
      <c r="L46" s="68"/>
    </row>
    <row r="47" spans="1:12" x14ac:dyDescent="0.25">
      <c r="A47" s="11" t="s">
        <v>99</v>
      </c>
    </row>
    <row r="48" spans="1:12" x14ac:dyDescent="0.25">
      <c r="A48" s="75" t="s">
        <v>101</v>
      </c>
    </row>
    <row r="49" spans="1:18" x14ac:dyDescent="0.25">
      <c r="A49" s="75" t="s">
        <v>103</v>
      </c>
    </row>
    <row r="50" spans="1:18" x14ac:dyDescent="0.25">
      <c r="A50" s="75" t="s">
        <v>104</v>
      </c>
    </row>
    <row r="51" spans="1:18" x14ac:dyDescent="0.25">
      <c r="A51" s="75" t="s">
        <v>100</v>
      </c>
    </row>
    <row r="52" spans="1:18" x14ac:dyDescent="0.25">
      <c r="A52" s="11" t="s">
        <v>105</v>
      </c>
    </row>
    <row r="53" spans="1:18" x14ac:dyDescent="0.25">
      <c r="A53" s="11" t="s">
        <v>106</v>
      </c>
    </row>
    <row r="54" spans="1:18" x14ac:dyDescent="0.25">
      <c r="A54" s="11" t="s">
        <v>98</v>
      </c>
    </row>
    <row r="56" spans="1:18" x14ac:dyDescent="0.25">
      <c r="A56" s="4" t="s">
        <v>4</v>
      </c>
      <c r="B56" s="10"/>
      <c r="C56" s="16">
        <v>0.01</v>
      </c>
      <c r="D56" s="16">
        <v>0.02</v>
      </c>
      <c r="E56" s="16">
        <v>0.05</v>
      </c>
      <c r="R56" s="1" t="s">
        <v>14</v>
      </c>
    </row>
    <row r="57" spans="1:18" s="2" customFormat="1" x14ac:dyDescent="0.25">
      <c r="A57" s="4"/>
      <c r="B57" s="10"/>
      <c r="C57" s="12"/>
      <c r="D57" s="12"/>
      <c r="E57" s="13"/>
      <c r="R57" s="1"/>
    </row>
    <row r="58" spans="1:18" x14ac:dyDescent="0.25">
      <c r="A58" s="4" t="s">
        <v>15</v>
      </c>
      <c r="B58" s="14">
        <v>4840</v>
      </c>
      <c r="C58" s="14" t="s">
        <v>110</v>
      </c>
    </row>
    <row r="59" spans="1:18" x14ac:dyDescent="0.25">
      <c r="B59" s="14">
        <f>B58/3</f>
        <v>1613.3333333333333</v>
      </c>
      <c r="C59" s="14" t="s">
        <v>10</v>
      </c>
      <c r="D59" s="7"/>
      <c r="E59" s="8"/>
    </row>
    <row r="60" spans="1:18" x14ac:dyDescent="0.25">
      <c r="B60" s="14">
        <f>B58*2/3</f>
        <v>3226.6666666666665</v>
      </c>
      <c r="C60" s="14" t="s">
        <v>11</v>
      </c>
      <c r="D60" s="6"/>
      <c r="E60" s="6"/>
    </row>
    <row r="61" spans="1:18" x14ac:dyDescent="0.25">
      <c r="B61" s="15">
        <f>B58</f>
        <v>4840</v>
      </c>
      <c r="C61" s="15" t="s">
        <v>12</v>
      </c>
      <c r="D61" s="6"/>
      <c r="E61" s="6"/>
    </row>
    <row r="63" spans="1:18" x14ac:dyDescent="0.25">
      <c r="E63" s="5"/>
    </row>
    <row r="64" spans="1:18" x14ac:dyDescent="0.25">
      <c r="D64" s="7"/>
      <c r="E64" s="8"/>
    </row>
    <row r="65" spans="4:5" x14ac:dyDescent="0.25">
      <c r="D65" s="6"/>
      <c r="E65" s="6"/>
    </row>
    <row r="66" spans="4:5" x14ac:dyDescent="0.25">
      <c r="D66" s="6"/>
      <c r="E66" s="6"/>
    </row>
    <row r="68" spans="4:5" x14ac:dyDescent="0.25">
      <c r="E68" s="5"/>
    </row>
    <row r="69" spans="4:5" x14ac:dyDescent="0.25">
      <c r="D69" s="7"/>
      <c r="E69" s="8"/>
    </row>
    <row r="70" spans="4:5" x14ac:dyDescent="0.25">
      <c r="D70" s="6"/>
      <c r="E70" s="6"/>
    </row>
    <row r="71" spans="4:5" x14ac:dyDescent="0.25">
      <c r="D71" s="6"/>
      <c r="E71" s="6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view="pageLayout" zoomScale="75" zoomScaleNormal="75" zoomScalePageLayoutView="75" workbookViewId="0">
      <selection activeCell="C17" sqref="C17"/>
    </sheetView>
  </sheetViews>
  <sheetFormatPr defaultColWidth="11" defaultRowHeight="15.75" x14ac:dyDescent="0.25"/>
  <cols>
    <col min="1" max="1" width="33.125" bestFit="1" customWidth="1"/>
    <col min="2" max="2" width="11.375" customWidth="1"/>
    <col min="3" max="5" width="13.375" customWidth="1"/>
    <col min="6" max="6" width="12.625" customWidth="1"/>
  </cols>
  <sheetData>
    <row r="1" spans="1:6" s="74" customFormat="1" x14ac:dyDescent="0.25">
      <c r="A1" s="74" t="s">
        <v>219</v>
      </c>
    </row>
    <row r="2" spans="1:6" s="119" customFormat="1" ht="12.75" x14ac:dyDescent="0.2">
      <c r="A2" s="119" t="s">
        <v>55</v>
      </c>
      <c r="B2" s="287">
        <v>3.3750000000000002E-2</v>
      </c>
      <c r="D2" s="382"/>
      <c r="E2" s="207"/>
    </row>
    <row r="3" spans="1:6" s="198" customFormat="1" ht="12.75" x14ac:dyDescent="0.2">
      <c r="A3" s="198" t="s">
        <v>166</v>
      </c>
      <c r="B3" s="32">
        <f>Project_Assumptions!C6</f>
        <v>30</v>
      </c>
    </row>
    <row r="4" spans="1:6" s="74" customFormat="1" x14ac:dyDescent="0.25"/>
    <row r="5" spans="1:6" s="77" customFormat="1" ht="15" x14ac:dyDescent="0.25">
      <c r="A5" s="86"/>
      <c r="B5" s="108"/>
      <c r="C5" s="288">
        <v>-0.1</v>
      </c>
      <c r="D5" s="86"/>
      <c r="E5" s="289">
        <v>0.3</v>
      </c>
    </row>
    <row r="6" spans="1:6" s="85" customFormat="1" ht="15" x14ac:dyDescent="0.25">
      <c r="A6" s="102" t="s">
        <v>186</v>
      </c>
      <c r="B6" s="106"/>
      <c r="C6" s="106" t="str">
        <f>Alternatives_Assumptions!C3</f>
        <v>Low</v>
      </c>
      <c r="D6" s="107" t="str">
        <f>Alternatives_Assumptions!D3</f>
        <v>Mid</v>
      </c>
      <c r="E6" s="107" t="str">
        <f>Alternatives_Assumptions!E3</f>
        <v>High</v>
      </c>
    </row>
    <row r="7" spans="1:6" s="114" customFormat="1" ht="12.75" x14ac:dyDescent="0.2">
      <c r="A7" s="112" t="s">
        <v>174</v>
      </c>
      <c r="B7" s="161"/>
      <c r="C7" s="113">
        <f>D7*(1+$C$5)</f>
        <v>180000</v>
      </c>
      <c r="D7" s="113">
        <f>D22</f>
        <v>200000</v>
      </c>
      <c r="E7" s="113">
        <f>D7*(1+$E$5)</f>
        <v>260000</v>
      </c>
    </row>
    <row r="8" spans="1:6" s="114" customFormat="1" ht="12.75" x14ac:dyDescent="0.2">
      <c r="A8" s="159" t="s">
        <v>179</v>
      </c>
      <c r="B8" s="162"/>
      <c r="C8" s="115">
        <f t="shared" ref="C8:C14" si="0">D8*(1+$C$5)</f>
        <v>270000</v>
      </c>
      <c r="D8" s="115">
        <f>D29</f>
        <v>300000</v>
      </c>
      <c r="E8" s="115">
        <f t="shared" ref="E8:E14" si="1">D8*(1+$E$5)</f>
        <v>390000</v>
      </c>
    </row>
    <row r="9" spans="1:6" s="114" customFormat="1" ht="12.75" x14ac:dyDescent="0.2">
      <c r="A9" s="159" t="s">
        <v>140</v>
      </c>
      <c r="B9" s="162"/>
      <c r="C9" s="115">
        <f t="shared" si="0"/>
        <v>18000</v>
      </c>
      <c r="D9" s="115">
        <f>D30</f>
        <v>20000</v>
      </c>
      <c r="E9" s="115">
        <f t="shared" si="1"/>
        <v>26000</v>
      </c>
    </row>
    <row r="10" spans="1:6" s="114" customFormat="1" ht="12.75" x14ac:dyDescent="0.2">
      <c r="A10" s="159" t="s">
        <v>141</v>
      </c>
      <c r="B10" s="162"/>
      <c r="C10" s="115">
        <f t="shared" si="0"/>
        <v>45000</v>
      </c>
      <c r="D10" s="115">
        <f>D31</f>
        <v>50000</v>
      </c>
      <c r="E10" s="115">
        <f t="shared" si="1"/>
        <v>65000</v>
      </c>
    </row>
    <row r="11" spans="1:6" s="116" customFormat="1" ht="12.75" x14ac:dyDescent="0.2">
      <c r="A11" s="159" t="s">
        <v>142</v>
      </c>
      <c r="B11" s="163"/>
      <c r="C11" s="115">
        <f t="shared" si="0"/>
        <v>0</v>
      </c>
      <c r="D11" s="115">
        <f t="shared" ref="D11:D12" si="2">D32</f>
        <v>0</v>
      </c>
      <c r="E11" s="115">
        <f t="shared" si="1"/>
        <v>0</v>
      </c>
      <c r="F11" s="447"/>
    </row>
    <row r="12" spans="1:6" s="114" customFormat="1" ht="12.75" x14ac:dyDescent="0.2">
      <c r="A12" s="159" t="s">
        <v>143</v>
      </c>
      <c r="B12" s="163"/>
      <c r="C12" s="115">
        <f t="shared" si="0"/>
        <v>0</v>
      </c>
      <c r="D12" s="115">
        <f t="shared" si="2"/>
        <v>0</v>
      </c>
      <c r="E12" s="115">
        <f t="shared" si="1"/>
        <v>0</v>
      </c>
    </row>
    <row r="13" spans="1:6" s="114" customFormat="1" ht="12.75" x14ac:dyDescent="0.2">
      <c r="A13" s="159" t="s">
        <v>144</v>
      </c>
      <c r="C13" s="397">
        <v>0</v>
      </c>
      <c r="D13" s="397">
        <f>AVERAGE(C13,E13)</f>
        <v>0</v>
      </c>
      <c r="E13" s="397">
        <v>0</v>
      </c>
    </row>
    <row r="14" spans="1:6" s="119" customFormat="1" ht="12.75" x14ac:dyDescent="0.2">
      <c r="A14" s="158" t="s">
        <v>144</v>
      </c>
      <c r="B14" s="164"/>
      <c r="C14" s="290">
        <f t="shared" si="0"/>
        <v>0</v>
      </c>
      <c r="D14" s="290">
        <v>0</v>
      </c>
      <c r="E14" s="290">
        <f t="shared" si="1"/>
        <v>0</v>
      </c>
    </row>
    <row r="15" spans="1:6" s="227" customFormat="1" ht="12.75" x14ac:dyDescent="0.2">
      <c r="A15" s="225"/>
      <c r="B15" s="164"/>
      <c r="C15" s="226"/>
      <c r="D15" s="226"/>
      <c r="E15" s="226"/>
    </row>
    <row r="16" spans="1:6" s="39" customFormat="1" ht="15" x14ac:dyDescent="0.25">
      <c r="A16" s="46" t="s">
        <v>187</v>
      </c>
      <c r="B16" s="46"/>
      <c r="C16" s="448">
        <f>D16*0.9</f>
        <v>19237.5</v>
      </c>
      <c r="D16" s="448">
        <v>21375</v>
      </c>
      <c r="E16" s="448">
        <f>D16*1.3</f>
        <v>27787.5</v>
      </c>
      <c r="F16" s="432"/>
    </row>
    <row r="17" spans="1:8" s="41" customFormat="1" ht="15" x14ac:dyDescent="0.25"/>
    <row r="18" spans="1:8" s="39" customFormat="1" ht="15" x14ac:dyDescent="0.25">
      <c r="A18" s="46" t="str">
        <f>CONCATENATE("Net Present Value: ",$B$3," years, ", $B$2*100,"% discount rate")</f>
        <v>Net Present Value: 30 years, 3.375% discount rate</v>
      </c>
      <c r="B18" s="46"/>
      <c r="C18" s="204">
        <f>IF($B$2=0,C16*$B$3,C16*((1-((1+$B$2)^-($B$3)))/$B$2))</f>
        <v>359423.85110929993</v>
      </c>
      <c r="D18" s="204">
        <f>IF($B$2=0,D16*$B$3,D16*((1-((1+$B$2)^-($B$3)))/$B$2))</f>
        <v>399359.8345658888</v>
      </c>
      <c r="E18" s="204">
        <f>IF($B$2=0,E16*$B$3,E16*((1-((1+$B$2)^-($B$3)))/$B$2))</f>
        <v>519167.78493565542</v>
      </c>
    </row>
    <row r="19" spans="1:8" s="41" customFormat="1" ht="15" x14ac:dyDescent="0.25">
      <c r="A19" s="1"/>
      <c r="B19" s="1"/>
      <c r="C19" s="1"/>
      <c r="D19" s="1"/>
      <c r="E19" s="1"/>
      <c r="F19" s="431"/>
      <c r="G19" s="431"/>
      <c r="H19" s="431"/>
    </row>
    <row r="20" spans="1:8" s="39" customFormat="1" ht="15" x14ac:dyDescent="0.25">
      <c r="A20" s="2" t="s">
        <v>170</v>
      </c>
      <c r="B20" s="2"/>
      <c r="C20" s="2"/>
      <c r="D20" s="2"/>
      <c r="E20" s="2"/>
      <c r="F20" s="433"/>
      <c r="G20" s="433"/>
    </row>
    <row r="21" spans="1:8" s="41" customFormat="1" ht="15" x14ac:dyDescent="0.25">
      <c r="A21" s="1" t="s">
        <v>235</v>
      </c>
      <c r="B21" s="1" t="s">
        <v>188</v>
      </c>
      <c r="C21" s="1" t="s">
        <v>189</v>
      </c>
      <c r="D21" s="1" t="s">
        <v>190</v>
      </c>
      <c r="E21" s="1" t="s">
        <v>9</v>
      </c>
    </row>
    <row r="22" spans="1:8" s="41" customFormat="1" ht="15" x14ac:dyDescent="0.25">
      <c r="A22" s="112" t="s">
        <v>174</v>
      </c>
      <c r="B22" s="229"/>
      <c r="C22" s="233"/>
      <c r="D22" s="233">
        <f>SUM(D23:D26)</f>
        <v>200000</v>
      </c>
      <c r="E22" s="236"/>
    </row>
    <row r="23" spans="1:8" s="41" customFormat="1" ht="15" x14ac:dyDescent="0.25">
      <c r="A23" s="224" t="s">
        <v>175</v>
      </c>
      <c r="B23" s="291">
        <v>0</v>
      </c>
      <c r="C23" s="292">
        <v>0</v>
      </c>
      <c r="D23" s="234">
        <f>B23*C23</f>
        <v>0</v>
      </c>
      <c r="E23" s="1"/>
    </row>
    <row r="24" spans="1:8" s="41" customFormat="1" ht="15" x14ac:dyDescent="0.25">
      <c r="A24" s="224" t="s">
        <v>176</v>
      </c>
      <c r="B24" s="221"/>
      <c r="C24" s="234"/>
      <c r="D24" s="234">
        <f>D23*0.5</f>
        <v>0</v>
      </c>
      <c r="E24" s="1"/>
    </row>
    <row r="25" spans="1:8" s="41" customFormat="1" ht="15" x14ac:dyDescent="0.25">
      <c r="A25" s="224" t="s">
        <v>177</v>
      </c>
      <c r="B25" s="291">
        <v>1</v>
      </c>
      <c r="C25" s="292">
        <v>100000</v>
      </c>
      <c r="D25" s="234">
        <f>B25*C25</f>
        <v>100000</v>
      </c>
      <c r="E25" s="78" t="s">
        <v>245</v>
      </c>
    </row>
    <row r="26" spans="1:8" s="41" customFormat="1" ht="15" x14ac:dyDescent="0.25">
      <c r="A26" s="228" t="s">
        <v>178</v>
      </c>
      <c r="B26" s="232"/>
      <c r="C26" s="235"/>
      <c r="D26" s="235">
        <f>D25</f>
        <v>100000</v>
      </c>
      <c r="E26" s="42"/>
    </row>
    <row r="27" spans="1:8" s="41" customFormat="1" ht="15" x14ac:dyDescent="0.25">
      <c r="A27" s="224"/>
      <c r="B27" s="1"/>
      <c r="C27" s="103"/>
      <c r="D27" s="237"/>
      <c r="E27" s="1"/>
    </row>
    <row r="28" spans="1:8" s="41" customFormat="1" ht="15" x14ac:dyDescent="0.25">
      <c r="A28" s="1" t="s">
        <v>235</v>
      </c>
      <c r="B28" s="1" t="s">
        <v>192</v>
      </c>
      <c r="C28" s="1" t="s">
        <v>193</v>
      </c>
      <c r="D28" s="1" t="s">
        <v>194</v>
      </c>
      <c r="E28" s="1"/>
    </row>
    <row r="29" spans="1:8" s="41" customFormat="1" ht="15" x14ac:dyDescent="0.25">
      <c r="A29" s="238" t="s">
        <v>195</v>
      </c>
      <c r="B29" s="293">
        <v>60</v>
      </c>
      <c r="C29" s="294">
        <v>5000</v>
      </c>
      <c r="D29" s="233">
        <f>B29*C29</f>
        <v>300000</v>
      </c>
      <c r="E29" s="40"/>
    </row>
    <row r="30" spans="1:8" s="41" customFormat="1" ht="15" x14ac:dyDescent="0.25">
      <c r="A30" s="159" t="s">
        <v>196</v>
      </c>
      <c r="B30" s="291">
        <v>2</v>
      </c>
      <c r="C30" s="292">
        <v>10000</v>
      </c>
      <c r="D30" s="234">
        <f t="shared" ref="D30:D33" si="3">B30*C30</f>
        <v>20000</v>
      </c>
      <c r="E30" s="1"/>
    </row>
    <row r="31" spans="1:8" s="41" customFormat="1" ht="15" x14ac:dyDescent="0.25">
      <c r="A31" s="159" t="s">
        <v>197</v>
      </c>
      <c r="B31" s="291">
        <v>5</v>
      </c>
      <c r="C31" s="292">
        <v>10000</v>
      </c>
      <c r="D31" s="234">
        <f t="shared" si="3"/>
        <v>50000</v>
      </c>
      <c r="E31" s="1"/>
    </row>
    <row r="32" spans="1:8" s="41" customFormat="1" ht="15" x14ac:dyDescent="0.25">
      <c r="A32" s="159" t="s">
        <v>198</v>
      </c>
      <c r="B32" s="291">
        <v>0</v>
      </c>
      <c r="C32" s="292">
        <v>2500</v>
      </c>
      <c r="D32" s="234">
        <f t="shared" si="3"/>
        <v>0</v>
      </c>
      <c r="E32" s="1"/>
    </row>
    <row r="33" spans="1:5" s="41" customFormat="1" ht="15" x14ac:dyDescent="0.25">
      <c r="A33" s="239" t="s">
        <v>199</v>
      </c>
      <c r="B33" s="295">
        <v>0</v>
      </c>
      <c r="C33" s="296">
        <v>0</v>
      </c>
      <c r="D33" s="235">
        <f t="shared" si="3"/>
        <v>0</v>
      </c>
      <c r="E33" s="326"/>
    </row>
    <row r="34" spans="1:5" s="41" customFormat="1" ht="15" x14ac:dyDescent="0.25">
      <c r="A34" s="1"/>
      <c r="B34" s="1"/>
      <c r="C34" s="1"/>
      <c r="D34" s="1"/>
      <c r="E34" s="1"/>
    </row>
    <row r="35" spans="1:5" s="39" customFormat="1" ht="15" x14ac:dyDescent="0.25">
      <c r="A35" s="2" t="s">
        <v>272</v>
      </c>
      <c r="B35" s="2"/>
      <c r="C35" s="2"/>
      <c r="D35" s="2"/>
      <c r="E35" s="2"/>
    </row>
    <row r="36" spans="1:5" s="41" customFormat="1" ht="15" x14ac:dyDescent="0.25">
      <c r="A36" s="1" t="s">
        <v>180</v>
      </c>
      <c r="B36" s="1" t="s">
        <v>184</v>
      </c>
      <c r="C36" s="1" t="s">
        <v>185</v>
      </c>
      <c r="D36" s="41" t="s">
        <v>191</v>
      </c>
      <c r="E36" s="1"/>
    </row>
    <row r="37" spans="1:5" s="41" customFormat="1" ht="15" x14ac:dyDescent="0.25">
      <c r="A37" s="293" t="s">
        <v>182</v>
      </c>
      <c r="B37" s="297">
        <v>0.1</v>
      </c>
      <c r="C37" s="430"/>
      <c r="D37" s="300">
        <v>0.33329999999999999</v>
      </c>
      <c r="E37" s="229">
        <f>C37*D37</f>
        <v>0</v>
      </c>
    </row>
    <row r="38" spans="1:5" s="41" customFormat="1" ht="15" x14ac:dyDescent="0.25">
      <c r="A38" s="291" t="s">
        <v>246</v>
      </c>
      <c r="B38" s="298">
        <v>0.05</v>
      </c>
      <c r="C38" s="222">
        <f>B37-B38</f>
        <v>0.05</v>
      </c>
      <c r="D38" s="301">
        <v>0.66669999999999996</v>
      </c>
      <c r="E38" s="221">
        <f>C38*D38</f>
        <v>3.3334999999999997E-2</v>
      </c>
    </row>
    <row r="39" spans="1:5" s="41" customFormat="1" ht="15" x14ac:dyDescent="0.25">
      <c r="A39" s="291" t="s">
        <v>234</v>
      </c>
      <c r="B39" s="298">
        <v>2.5000000000000001E-2</v>
      </c>
      <c r="C39" s="222">
        <f>B38-B39</f>
        <v>2.5000000000000001E-2</v>
      </c>
      <c r="D39" s="301">
        <v>1</v>
      </c>
      <c r="E39" s="221">
        <f t="shared" ref="E39:E41" si="4">C39*D39</f>
        <v>2.5000000000000001E-2</v>
      </c>
    </row>
    <row r="40" spans="1:5" s="41" customFormat="1" ht="15" x14ac:dyDescent="0.25">
      <c r="A40" s="291" t="s">
        <v>181</v>
      </c>
      <c r="B40" s="298">
        <v>0.01</v>
      </c>
      <c r="C40" s="222">
        <f>B39-B40</f>
        <v>1.5000000000000001E-2</v>
      </c>
      <c r="D40" s="301">
        <v>2.5</v>
      </c>
      <c r="E40" s="221">
        <f t="shared" si="4"/>
        <v>3.7500000000000006E-2</v>
      </c>
    </row>
    <row r="41" spans="1:5" s="41" customFormat="1" ht="15" x14ac:dyDescent="0.25">
      <c r="A41" s="291" t="s">
        <v>183</v>
      </c>
      <c r="B41" s="298">
        <v>5.0000000000000001E-3</v>
      </c>
      <c r="C41" s="222">
        <f>B40-B41</f>
        <v>5.0000000000000001E-3</v>
      </c>
      <c r="D41" s="301">
        <v>5</v>
      </c>
      <c r="E41" s="221">
        <f t="shared" si="4"/>
        <v>2.5000000000000001E-2</v>
      </c>
    </row>
    <row r="42" spans="1:5" s="41" customFormat="1" ht="15" x14ac:dyDescent="0.25">
      <c r="A42" s="295"/>
      <c r="B42" s="299"/>
      <c r="C42" s="230"/>
      <c r="D42" s="302"/>
      <c r="E42" s="232"/>
    </row>
    <row r="43" spans="1:5" s="39" customFormat="1" ht="15" x14ac:dyDescent="0.25">
      <c r="A43" s="2" t="s">
        <v>233</v>
      </c>
      <c r="B43" s="2"/>
      <c r="C43" s="231">
        <f>SUM(C37:C39)</f>
        <v>7.5000000000000011E-2</v>
      </c>
      <c r="D43" s="78" t="s">
        <v>218</v>
      </c>
      <c r="E43" s="223">
        <f>SUM(E37:E39)</f>
        <v>5.8334999999999998E-2</v>
      </c>
    </row>
    <row r="44" spans="1:5" s="41" customFormat="1" ht="15" x14ac:dyDescent="0.25">
      <c r="A44" s="1"/>
      <c r="B44" s="1"/>
      <c r="C44" s="1"/>
      <c r="D44" s="1"/>
      <c r="E44" s="1"/>
    </row>
    <row r="45" spans="1:5" s="41" customFormat="1" ht="15" x14ac:dyDescent="0.25">
      <c r="A45" s="1"/>
      <c r="B45" s="1"/>
      <c r="C45" s="1"/>
      <c r="D45" s="1"/>
      <c r="E45" s="1"/>
    </row>
    <row r="46" spans="1:5" s="41" customFormat="1" ht="15" x14ac:dyDescent="0.25">
      <c r="A46" s="1"/>
      <c r="B46" s="1"/>
      <c r="C46" s="1"/>
      <c r="D46" s="1"/>
      <c r="E46" s="1"/>
    </row>
    <row r="47" spans="1:5" s="41" customFormat="1" ht="15" x14ac:dyDescent="0.25">
      <c r="A47" s="1"/>
      <c r="B47" s="1"/>
      <c r="C47" s="1"/>
      <c r="D47" s="1"/>
      <c r="E47" s="1"/>
    </row>
    <row r="48" spans="1:5" s="41" customFormat="1" ht="15" x14ac:dyDescent="0.25">
      <c r="A48" s="1"/>
      <c r="B48" s="1"/>
      <c r="C48" s="1"/>
      <c r="D48" s="1"/>
      <c r="E48" s="1"/>
    </row>
    <row r="49" spans="1:5" s="41" customFormat="1" ht="15" x14ac:dyDescent="0.25">
      <c r="A49" s="1"/>
      <c r="B49" s="1"/>
      <c r="C49" s="1"/>
      <c r="D49" s="1"/>
      <c r="E49" s="1"/>
    </row>
    <row r="50" spans="1:5" s="41" customFormat="1" ht="15" x14ac:dyDescent="0.25">
      <c r="A50" s="1"/>
      <c r="B50" s="1"/>
      <c r="C50" s="1"/>
      <c r="D50" s="1"/>
      <c r="E50" s="1"/>
    </row>
    <row r="51" spans="1:5" s="41" customFormat="1" ht="15" x14ac:dyDescent="0.25">
      <c r="A51" s="1"/>
      <c r="B51" s="1"/>
      <c r="C51" s="1"/>
      <c r="D51" s="1"/>
      <c r="E51" s="1"/>
    </row>
    <row r="52" spans="1:5" s="41" customFormat="1" ht="15" x14ac:dyDescent="0.25">
      <c r="A52" s="1"/>
      <c r="B52" s="1"/>
      <c r="C52" s="1"/>
      <c r="D52" s="1"/>
      <c r="E52" s="1"/>
    </row>
    <row r="53" spans="1:5" s="41" customFormat="1" ht="15" x14ac:dyDescent="0.25">
      <c r="A53" s="1"/>
      <c r="B53" s="1"/>
      <c r="C53" s="1"/>
      <c r="D53" s="1"/>
      <c r="E53" s="1"/>
    </row>
    <row r="54" spans="1:5" s="41" customFormat="1" ht="15" x14ac:dyDescent="0.25">
      <c r="A54" s="1"/>
      <c r="B54" s="1"/>
      <c r="C54" s="1"/>
      <c r="D54" s="1"/>
      <c r="E54" s="1"/>
    </row>
    <row r="55" spans="1:5" s="41" customFormat="1" ht="15" x14ac:dyDescent="0.25">
      <c r="A55" s="1"/>
      <c r="B55" s="1"/>
      <c r="C55" s="1"/>
      <c r="D55" s="1"/>
      <c r="E55" s="1"/>
    </row>
    <row r="56" spans="1:5" s="41" customFormat="1" ht="15" x14ac:dyDescent="0.25">
      <c r="A56" s="1"/>
      <c r="B56" s="1"/>
      <c r="C56" s="1"/>
      <c r="D56" s="1"/>
      <c r="E56" s="1"/>
    </row>
    <row r="57" spans="1:5" s="41" customFormat="1" ht="15" x14ac:dyDescent="0.25">
      <c r="A57" s="1"/>
      <c r="B57" s="1"/>
      <c r="C57" s="1"/>
      <c r="D57" s="1"/>
      <c r="E57" s="1"/>
    </row>
    <row r="58" spans="1:5" s="41" customFormat="1" ht="15" x14ac:dyDescent="0.25">
      <c r="A58" s="1"/>
      <c r="B58" s="1"/>
      <c r="C58" s="1"/>
      <c r="D58" s="1"/>
      <c r="E58" s="1"/>
    </row>
    <row r="59" spans="1:5" s="41" customFormat="1" ht="15" x14ac:dyDescent="0.25">
      <c r="A59" s="1"/>
      <c r="B59" s="1"/>
      <c r="C59" s="1"/>
      <c r="D59" s="1"/>
      <c r="E59" s="1"/>
    </row>
    <row r="60" spans="1:5" s="41" customFormat="1" ht="15" x14ac:dyDescent="0.25">
      <c r="A60" s="1"/>
      <c r="B60" s="1"/>
      <c r="C60" s="1"/>
      <c r="D60" s="1"/>
      <c r="E60" s="1"/>
    </row>
    <row r="61" spans="1:5" s="41" customFormat="1" ht="15" x14ac:dyDescent="0.25">
      <c r="A61" s="1"/>
      <c r="B61" s="1"/>
      <c r="C61" s="1"/>
      <c r="D61" s="1"/>
      <c r="E61" s="1"/>
    </row>
    <row r="62" spans="1:5" s="41" customFormat="1" ht="15" x14ac:dyDescent="0.25">
      <c r="A62" s="1"/>
      <c r="B62" s="1"/>
      <c r="C62" s="1"/>
      <c r="D62" s="1"/>
      <c r="E62" s="1"/>
    </row>
    <row r="63" spans="1:5" s="41" customFormat="1" ht="15" x14ac:dyDescent="0.25">
      <c r="A63" s="1"/>
      <c r="B63" s="1"/>
      <c r="C63" s="1"/>
      <c r="D63" s="1"/>
      <c r="E63" s="1"/>
    </row>
    <row r="64" spans="1:5" s="41" customFormat="1" ht="15" x14ac:dyDescent="0.25">
      <c r="A64" s="1"/>
      <c r="B64" s="1"/>
      <c r="C64" s="1"/>
      <c r="D64" s="1"/>
      <c r="E64" s="1"/>
    </row>
    <row r="65" spans="1:5" s="41" customFormat="1" ht="15" x14ac:dyDescent="0.25">
      <c r="A65" s="1"/>
      <c r="B65" s="1"/>
      <c r="C65" s="1"/>
      <c r="D65" s="1"/>
      <c r="E65" s="1"/>
    </row>
    <row r="66" spans="1:5" s="41" customFormat="1" ht="15" x14ac:dyDescent="0.25">
      <c r="A66" s="1"/>
      <c r="B66" s="1"/>
      <c r="C66" s="1"/>
      <c r="D66" s="1"/>
      <c r="E66" s="1"/>
    </row>
    <row r="67" spans="1:5" s="41" customFormat="1" ht="15" x14ac:dyDescent="0.25">
      <c r="A67" s="1"/>
      <c r="B67" s="1"/>
      <c r="C67" s="1"/>
      <c r="D67" s="1"/>
      <c r="E67" s="1"/>
    </row>
    <row r="68" spans="1:5" s="41" customFormat="1" ht="15" x14ac:dyDescent="0.25">
      <c r="A68" s="1"/>
      <c r="B68" s="1"/>
      <c r="C68" s="1"/>
      <c r="D68" s="1"/>
      <c r="E68" s="1"/>
    </row>
    <row r="69" spans="1:5" s="41" customFormat="1" ht="15" x14ac:dyDescent="0.25">
      <c r="A69" s="1"/>
      <c r="B69" s="1"/>
      <c r="C69" s="1"/>
      <c r="D69" s="1"/>
      <c r="E69" s="1"/>
    </row>
    <row r="70" spans="1:5" s="41" customFormat="1" ht="15" x14ac:dyDescent="0.25">
      <c r="A70" s="1"/>
      <c r="B70" s="1"/>
      <c r="C70" s="1"/>
      <c r="D70" s="1"/>
      <c r="E70" s="1"/>
    </row>
    <row r="71" spans="1:5" s="41" customFormat="1" ht="15" x14ac:dyDescent="0.25">
      <c r="A71" s="1"/>
      <c r="B71" s="1"/>
      <c r="C71" s="1"/>
      <c r="D71" s="1"/>
      <c r="E71" s="1"/>
    </row>
    <row r="72" spans="1:5" s="41" customFormat="1" ht="15" x14ac:dyDescent="0.25">
      <c r="A72" s="1"/>
      <c r="B72" s="1"/>
      <c r="C72" s="1"/>
      <c r="D72" s="1"/>
      <c r="E72" s="1"/>
    </row>
    <row r="73" spans="1:5" s="41" customFormat="1" ht="15" x14ac:dyDescent="0.25">
      <c r="A73" s="1"/>
      <c r="B73" s="1"/>
      <c r="C73" s="1"/>
      <c r="D73" s="1"/>
      <c r="E73" s="1"/>
    </row>
    <row r="74" spans="1:5" s="41" customFormat="1" ht="15" x14ac:dyDescent="0.25">
      <c r="A74" s="1"/>
      <c r="B74" s="1"/>
      <c r="C74" s="1"/>
      <c r="D74" s="1"/>
      <c r="E74" s="1"/>
    </row>
    <row r="75" spans="1:5" s="41" customFormat="1" ht="15" x14ac:dyDescent="0.25">
      <c r="A75" s="1"/>
      <c r="B75" s="1"/>
      <c r="C75" s="1"/>
      <c r="D75" s="1"/>
      <c r="E75" s="1"/>
    </row>
    <row r="76" spans="1:5" s="41" customFormat="1" ht="15" x14ac:dyDescent="0.25">
      <c r="A76" s="1"/>
      <c r="B76" s="1"/>
      <c r="C76" s="1"/>
      <c r="D76" s="1"/>
      <c r="E76" s="1"/>
    </row>
    <row r="77" spans="1:5" s="41" customFormat="1" ht="15" x14ac:dyDescent="0.25">
      <c r="A77" s="1"/>
      <c r="B77" s="1"/>
      <c r="C77" s="1"/>
      <c r="D77" s="1"/>
      <c r="E77" s="1"/>
    </row>
    <row r="78" spans="1:5" s="41" customFormat="1" ht="15" x14ac:dyDescent="0.25">
      <c r="A78" s="1"/>
      <c r="B78" s="1"/>
      <c r="C78" s="1"/>
      <c r="D78" s="1"/>
      <c r="E78" s="1"/>
    </row>
    <row r="79" spans="1:5" s="41" customFormat="1" ht="15" x14ac:dyDescent="0.25">
      <c r="A79" s="1"/>
      <c r="B79" s="1"/>
      <c r="C79" s="1"/>
      <c r="D79" s="1"/>
      <c r="E79" s="1"/>
    </row>
    <row r="80" spans="1:5" s="41" customFormat="1" ht="15" x14ac:dyDescent="0.25">
      <c r="A80" s="1"/>
      <c r="B80" s="1"/>
      <c r="C80" s="1"/>
      <c r="D80" s="1"/>
      <c r="E80" s="1"/>
    </row>
    <row r="81" spans="3:5" s="41" customFormat="1" ht="15" x14ac:dyDescent="0.25">
      <c r="C81" s="1"/>
      <c r="D81" s="1"/>
      <c r="E81" s="1"/>
    </row>
    <row r="82" spans="3:5" s="41" customFormat="1" ht="15" x14ac:dyDescent="0.25">
      <c r="C82" s="1"/>
      <c r="D82" s="1"/>
      <c r="E82" s="1"/>
    </row>
    <row r="83" spans="3:5" s="41" customFormat="1" ht="15" x14ac:dyDescent="0.25">
      <c r="C83" s="1"/>
      <c r="D83" s="1"/>
      <c r="E83" s="1"/>
    </row>
    <row r="84" spans="3:5" s="41" customFormat="1" ht="15" x14ac:dyDescent="0.25">
      <c r="C84" s="1"/>
      <c r="D84" s="1"/>
      <c r="E84" s="1"/>
    </row>
    <row r="85" spans="3:5" s="41" customFormat="1" ht="15" x14ac:dyDescent="0.25">
      <c r="C85" s="1"/>
      <c r="D85" s="1"/>
      <c r="E85" s="1"/>
    </row>
    <row r="86" spans="3:5" s="41" customFormat="1" ht="15" x14ac:dyDescent="0.25">
      <c r="C86" s="1"/>
      <c r="D86" s="1"/>
      <c r="E86" s="1"/>
    </row>
    <row r="87" spans="3:5" s="41" customFormat="1" ht="15" x14ac:dyDescent="0.25">
      <c r="C87" s="1"/>
      <c r="D87" s="1"/>
      <c r="E87" s="1"/>
    </row>
    <row r="88" spans="3:5" s="41" customFormat="1" ht="15" x14ac:dyDescent="0.25">
      <c r="C88" s="1"/>
      <c r="D88" s="1"/>
      <c r="E88" s="1"/>
    </row>
    <row r="89" spans="3:5" s="41" customFormat="1" ht="15" x14ac:dyDescent="0.25">
      <c r="C89" s="1"/>
      <c r="D89" s="1"/>
      <c r="E89" s="1"/>
    </row>
    <row r="90" spans="3:5" s="41" customFormat="1" ht="15" x14ac:dyDescent="0.25">
      <c r="C90" s="1"/>
      <c r="D90" s="1"/>
      <c r="E90" s="1"/>
    </row>
    <row r="91" spans="3:5" s="41" customFormat="1" ht="15" x14ac:dyDescent="0.25">
      <c r="C91" s="1"/>
      <c r="D91" s="1"/>
      <c r="E91" s="1"/>
    </row>
    <row r="92" spans="3:5" s="41" customFormat="1" ht="15" x14ac:dyDescent="0.25">
      <c r="C92" s="1"/>
      <c r="D92" s="1"/>
      <c r="E92" s="1"/>
    </row>
    <row r="93" spans="3:5" s="41" customFormat="1" ht="15" x14ac:dyDescent="0.25">
      <c r="C93" s="1"/>
      <c r="D93" s="1"/>
      <c r="E93" s="1"/>
    </row>
    <row r="94" spans="3:5" s="41" customFormat="1" ht="15" x14ac:dyDescent="0.25">
      <c r="C94" s="1"/>
      <c r="D94" s="1"/>
      <c r="E94" s="1"/>
    </row>
    <row r="95" spans="3:5" s="41" customFormat="1" ht="15" x14ac:dyDescent="0.25">
      <c r="C95" s="1"/>
      <c r="D95" s="1"/>
      <c r="E95" s="1"/>
    </row>
    <row r="96" spans="3:5" s="41" customFormat="1" ht="15" x14ac:dyDescent="0.25">
      <c r="C96" s="1"/>
      <c r="D96" s="1"/>
      <c r="E96" s="1"/>
    </row>
    <row r="97" spans="3:5" s="41" customFormat="1" ht="15" x14ac:dyDescent="0.25">
      <c r="C97" s="1"/>
      <c r="D97" s="1"/>
      <c r="E97" s="1"/>
    </row>
    <row r="98" spans="3:5" s="41" customFormat="1" ht="15" x14ac:dyDescent="0.25">
      <c r="C98" s="1"/>
      <c r="D98" s="1"/>
      <c r="E98" s="1"/>
    </row>
    <row r="99" spans="3:5" s="41" customFormat="1" ht="15" x14ac:dyDescent="0.25">
      <c r="C99" s="1"/>
      <c r="D99" s="1"/>
      <c r="E99" s="1"/>
    </row>
    <row r="100" spans="3:5" s="41" customFormat="1" ht="15" x14ac:dyDescent="0.25">
      <c r="C100" s="1"/>
      <c r="D100" s="1"/>
      <c r="E100" s="1"/>
    </row>
    <row r="101" spans="3:5" s="41" customFormat="1" ht="15" x14ac:dyDescent="0.25">
      <c r="C101" s="1"/>
      <c r="D101" s="1"/>
      <c r="E101" s="1"/>
    </row>
    <row r="102" spans="3:5" s="41" customFormat="1" ht="15" x14ac:dyDescent="0.25">
      <c r="C102" s="1"/>
      <c r="D102" s="1"/>
      <c r="E102" s="1"/>
    </row>
    <row r="103" spans="3:5" s="41" customFormat="1" ht="15" x14ac:dyDescent="0.25">
      <c r="C103" s="1"/>
      <c r="D103" s="1"/>
      <c r="E103" s="1"/>
    </row>
    <row r="104" spans="3:5" s="41" customFormat="1" ht="15" x14ac:dyDescent="0.25">
      <c r="C104" s="1"/>
      <c r="D104" s="1"/>
      <c r="E104" s="1"/>
    </row>
    <row r="105" spans="3:5" s="41" customFormat="1" ht="15" x14ac:dyDescent="0.25">
      <c r="C105" s="1"/>
      <c r="D105" s="1"/>
      <c r="E105" s="1"/>
    </row>
    <row r="106" spans="3:5" s="41" customFormat="1" ht="15" x14ac:dyDescent="0.25">
      <c r="C106" s="1"/>
      <c r="D106" s="1"/>
      <c r="E106" s="1"/>
    </row>
    <row r="107" spans="3:5" s="41" customFormat="1" ht="15" x14ac:dyDescent="0.25">
      <c r="C107" s="1"/>
      <c r="D107" s="1"/>
      <c r="E107" s="1"/>
    </row>
    <row r="108" spans="3:5" s="41" customFormat="1" ht="15" x14ac:dyDescent="0.25">
      <c r="C108" s="1"/>
      <c r="D108" s="1"/>
      <c r="E108" s="1"/>
    </row>
    <row r="109" spans="3:5" x14ac:dyDescent="0.25">
      <c r="C109" s="160"/>
      <c r="D109" s="160"/>
      <c r="E109" s="160"/>
    </row>
    <row r="110" spans="3:5" x14ac:dyDescent="0.25">
      <c r="C110" s="160"/>
      <c r="D110" s="160"/>
      <c r="E110" s="160"/>
    </row>
    <row r="111" spans="3:5" x14ac:dyDescent="0.25">
      <c r="C111" s="160"/>
      <c r="D111" s="160"/>
      <c r="E111" s="160"/>
    </row>
    <row r="112" spans="3:5" x14ac:dyDescent="0.25">
      <c r="C112" s="160"/>
      <c r="D112" s="160"/>
      <c r="E112" s="160"/>
    </row>
    <row r="113" spans="3:5" x14ac:dyDescent="0.25">
      <c r="C113" s="160"/>
      <c r="D113" s="160"/>
      <c r="E113" s="160"/>
    </row>
    <row r="114" spans="3:5" x14ac:dyDescent="0.25">
      <c r="C114" s="160"/>
      <c r="D114" s="160"/>
      <c r="E114" s="160"/>
    </row>
    <row r="115" spans="3:5" x14ac:dyDescent="0.25">
      <c r="C115" s="160"/>
      <c r="D115" s="160"/>
      <c r="E115" s="160"/>
    </row>
    <row r="116" spans="3:5" x14ac:dyDescent="0.25">
      <c r="C116" s="160"/>
      <c r="D116" s="160"/>
      <c r="E116" s="160"/>
    </row>
    <row r="117" spans="3:5" x14ac:dyDescent="0.25">
      <c r="C117" s="160"/>
      <c r="D117" s="160"/>
      <c r="E117" s="160"/>
    </row>
    <row r="118" spans="3:5" x14ac:dyDescent="0.25">
      <c r="C118" s="160"/>
      <c r="D118" s="160"/>
      <c r="E118" s="160"/>
    </row>
    <row r="119" spans="3:5" x14ac:dyDescent="0.25">
      <c r="C119" s="160"/>
      <c r="D119" s="160"/>
      <c r="E119" s="160"/>
    </row>
    <row r="120" spans="3:5" x14ac:dyDescent="0.25">
      <c r="C120" s="160"/>
      <c r="D120" s="160"/>
      <c r="E120" s="160"/>
    </row>
    <row r="121" spans="3:5" x14ac:dyDescent="0.25">
      <c r="C121" s="160"/>
      <c r="D121" s="160"/>
      <c r="E121" s="160"/>
    </row>
    <row r="122" spans="3:5" x14ac:dyDescent="0.25">
      <c r="C122" s="160"/>
      <c r="D122" s="160"/>
      <c r="E122" s="160"/>
    </row>
    <row r="123" spans="3:5" x14ac:dyDescent="0.25">
      <c r="C123" s="160"/>
      <c r="D123" s="160"/>
      <c r="E123" s="160"/>
    </row>
    <row r="124" spans="3:5" x14ac:dyDescent="0.25">
      <c r="C124" s="160"/>
      <c r="D124" s="160"/>
      <c r="E124" s="160"/>
    </row>
    <row r="125" spans="3:5" x14ac:dyDescent="0.25">
      <c r="C125" s="160"/>
      <c r="D125" s="160"/>
      <c r="E125" s="160"/>
    </row>
    <row r="126" spans="3:5" x14ac:dyDescent="0.25">
      <c r="C126" s="160"/>
      <c r="D126" s="160"/>
      <c r="E126" s="160"/>
    </row>
    <row r="127" spans="3:5" x14ac:dyDescent="0.25">
      <c r="C127" s="160"/>
      <c r="D127" s="160"/>
      <c r="E127" s="160"/>
    </row>
    <row r="128" spans="3:5" x14ac:dyDescent="0.25">
      <c r="C128" s="160"/>
      <c r="D128" s="160"/>
      <c r="E128" s="160"/>
    </row>
    <row r="129" spans="3:5" x14ac:dyDescent="0.25">
      <c r="C129" s="160"/>
      <c r="D129" s="160"/>
      <c r="E129" s="160"/>
    </row>
    <row r="130" spans="3:5" x14ac:dyDescent="0.25">
      <c r="C130" s="160"/>
      <c r="D130" s="160"/>
      <c r="E130" s="160"/>
    </row>
    <row r="131" spans="3:5" x14ac:dyDescent="0.25">
      <c r="C131" s="160"/>
      <c r="D131" s="160"/>
      <c r="E131" s="160"/>
    </row>
    <row r="132" spans="3:5" x14ac:dyDescent="0.25">
      <c r="C132" s="160"/>
      <c r="D132" s="160"/>
      <c r="E132" s="160"/>
    </row>
    <row r="133" spans="3:5" x14ac:dyDescent="0.25">
      <c r="C133" s="160"/>
      <c r="D133" s="160"/>
      <c r="E133" s="160"/>
    </row>
    <row r="134" spans="3:5" x14ac:dyDescent="0.25">
      <c r="C134" s="160"/>
      <c r="D134" s="160"/>
      <c r="E134" s="160"/>
    </row>
    <row r="135" spans="3:5" x14ac:dyDescent="0.25">
      <c r="C135" s="160"/>
      <c r="D135" s="160"/>
      <c r="E135" s="160"/>
    </row>
    <row r="136" spans="3:5" x14ac:dyDescent="0.25">
      <c r="C136" s="160"/>
      <c r="D136" s="160"/>
      <c r="E136" s="160"/>
    </row>
    <row r="137" spans="3:5" x14ac:dyDescent="0.25">
      <c r="C137" s="160"/>
      <c r="D137" s="160"/>
      <c r="E137" s="160"/>
    </row>
    <row r="138" spans="3:5" x14ac:dyDescent="0.25">
      <c r="C138" s="160"/>
      <c r="D138" s="160"/>
      <c r="E138" s="160"/>
    </row>
    <row r="139" spans="3:5" x14ac:dyDescent="0.25">
      <c r="C139" s="160"/>
      <c r="D139" s="160"/>
      <c r="E139" s="160"/>
    </row>
    <row r="140" spans="3:5" x14ac:dyDescent="0.25">
      <c r="C140" s="160"/>
      <c r="D140" s="160"/>
      <c r="E140" s="160"/>
    </row>
    <row r="141" spans="3:5" x14ac:dyDescent="0.25">
      <c r="C141" s="160"/>
      <c r="D141" s="160"/>
      <c r="E141" s="160"/>
    </row>
    <row r="142" spans="3:5" x14ac:dyDescent="0.25">
      <c r="C142" s="160"/>
      <c r="D142" s="160"/>
      <c r="E142" s="160"/>
    </row>
    <row r="143" spans="3:5" x14ac:dyDescent="0.25">
      <c r="C143" s="160"/>
      <c r="D143" s="160"/>
      <c r="E143" s="160"/>
    </row>
    <row r="144" spans="3:5" x14ac:dyDescent="0.25">
      <c r="C144" s="160"/>
      <c r="D144" s="160"/>
      <c r="E144" s="160"/>
    </row>
    <row r="145" spans="3:5" x14ac:dyDescent="0.25">
      <c r="C145" s="160"/>
      <c r="D145" s="160"/>
      <c r="E145" s="160"/>
    </row>
    <row r="146" spans="3:5" x14ac:dyDescent="0.25">
      <c r="C146" s="160"/>
      <c r="D146" s="160"/>
      <c r="E146" s="160"/>
    </row>
    <row r="147" spans="3:5" x14ac:dyDescent="0.25">
      <c r="C147" s="160"/>
      <c r="D147" s="160"/>
      <c r="E147" s="160"/>
    </row>
    <row r="148" spans="3:5" x14ac:dyDescent="0.25">
      <c r="C148" s="160"/>
      <c r="D148" s="160"/>
      <c r="E148" s="160"/>
    </row>
    <row r="149" spans="3:5" x14ac:dyDescent="0.25">
      <c r="C149" s="160"/>
      <c r="D149" s="160"/>
      <c r="E149" s="160"/>
    </row>
    <row r="150" spans="3:5" x14ac:dyDescent="0.25">
      <c r="C150" s="160"/>
      <c r="D150" s="160"/>
      <c r="E150" s="160"/>
    </row>
    <row r="151" spans="3:5" x14ac:dyDescent="0.25">
      <c r="C151" s="160"/>
      <c r="D151" s="160"/>
      <c r="E151" s="160"/>
    </row>
    <row r="152" spans="3:5" x14ac:dyDescent="0.25">
      <c r="C152" s="160"/>
      <c r="D152" s="160"/>
      <c r="E152" s="160"/>
    </row>
    <row r="153" spans="3:5" x14ac:dyDescent="0.25">
      <c r="C153" s="160"/>
      <c r="D153" s="160"/>
      <c r="E153" s="160"/>
    </row>
    <row r="154" spans="3:5" x14ac:dyDescent="0.25">
      <c r="C154" s="160"/>
      <c r="D154" s="160"/>
      <c r="E154" s="160"/>
    </row>
    <row r="155" spans="3:5" x14ac:dyDescent="0.25">
      <c r="C155" s="160"/>
      <c r="D155" s="160"/>
      <c r="E155" s="160"/>
    </row>
    <row r="156" spans="3:5" x14ac:dyDescent="0.25">
      <c r="C156" s="160"/>
      <c r="D156" s="160"/>
      <c r="E156" s="160"/>
    </row>
    <row r="157" spans="3:5" x14ac:dyDescent="0.25">
      <c r="C157" s="160"/>
      <c r="D157" s="160"/>
      <c r="E157" s="160"/>
    </row>
    <row r="158" spans="3:5" x14ac:dyDescent="0.25">
      <c r="C158" s="160"/>
      <c r="D158" s="160"/>
      <c r="E158" s="160"/>
    </row>
    <row r="159" spans="3:5" x14ac:dyDescent="0.25">
      <c r="C159" s="160"/>
      <c r="D159" s="160"/>
      <c r="E159" s="160"/>
    </row>
    <row r="160" spans="3:5" x14ac:dyDescent="0.25">
      <c r="C160" s="160"/>
      <c r="D160" s="160"/>
      <c r="E160" s="160"/>
    </row>
    <row r="161" spans="3:5" x14ac:dyDescent="0.25">
      <c r="C161" s="160"/>
      <c r="D161" s="160"/>
      <c r="E161" s="160"/>
    </row>
    <row r="162" spans="3:5" x14ac:dyDescent="0.25">
      <c r="C162" s="160"/>
      <c r="D162" s="160"/>
      <c r="E162" s="160"/>
    </row>
    <row r="163" spans="3:5" x14ac:dyDescent="0.25">
      <c r="C163" s="160"/>
      <c r="D163" s="160"/>
      <c r="E163" s="160"/>
    </row>
    <row r="164" spans="3:5" x14ac:dyDescent="0.25">
      <c r="C164" s="160"/>
      <c r="D164" s="160"/>
      <c r="E164" s="160"/>
    </row>
    <row r="165" spans="3:5" x14ac:dyDescent="0.25">
      <c r="D165" s="160"/>
    </row>
    <row r="166" spans="3:5" x14ac:dyDescent="0.25">
      <c r="D166" s="160"/>
    </row>
    <row r="167" spans="3:5" x14ac:dyDescent="0.25">
      <c r="D167" s="160"/>
    </row>
    <row r="168" spans="3:5" x14ac:dyDescent="0.25">
      <c r="D168" s="160"/>
    </row>
    <row r="169" spans="3:5" x14ac:dyDescent="0.25">
      <c r="D169" s="160"/>
    </row>
    <row r="170" spans="3:5" x14ac:dyDescent="0.25">
      <c r="D170" s="160"/>
    </row>
    <row r="171" spans="3:5" x14ac:dyDescent="0.25">
      <c r="D171" s="160"/>
    </row>
    <row r="172" spans="3:5" x14ac:dyDescent="0.25">
      <c r="D172" s="160"/>
    </row>
    <row r="173" spans="3:5" x14ac:dyDescent="0.25">
      <c r="D173" s="160"/>
    </row>
    <row r="174" spans="3:5" x14ac:dyDescent="0.25">
      <c r="D174" s="160"/>
    </row>
    <row r="175" spans="3:5" x14ac:dyDescent="0.25">
      <c r="D175" s="160"/>
    </row>
    <row r="176" spans="3:5" x14ac:dyDescent="0.25">
      <c r="D176" s="160"/>
    </row>
    <row r="177" spans="4:4" x14ac:dyDescent="0.25">
      <c r="D177" s="160"/>
    </row>
    <row r="178" spans="4:4" x14ac:dyDescent="0.25">
      <c r="D178" s="160"/>
    </row>
    <row r="179" spans="4:4" x14ac:dyDescent="0.25">
      <c r="D179" s="160"/>
    </row>
    <row r="180" spans="4:4" x14ac:dyDescent="0.25">
      <c r="D180" s="160"/>
    </row>
    <row r="181" spans="4:4" x14ac:dyDescent="0.25">
      <c r="D181" s="160"/>
    </row>
    <row r="182" spans="4:4" x14ac:dyDescent="0.25">
      <c r="D182" s="160"/>
    </row>
    <row r="183" spans="4:4" x14ac:dyDescent="0.25">
      <c r="D183" s="160"/>
    </row>
    <row r="184" spans="4:4" x14ac:dyDescent="0.25">
      <c r="D184" s="160"/>
    </row>
    <row r="185" spans="4:4" x14ac:dyDescent="0.25">
      <c r="D185" s="160"/>
    </row>
    <row r="186" spans="4:4" x14ac:dyDescent="0.25">
      <c r="D186" s="160"/>
    </row>
    <row r="187" spans="4:4" x14ac:dyDescent="0.25">
      <c r="D187" s="160"/>
    </row>
    <row r="188" spans="4:4" x14ac:dyDescent="0.25">
      <c r="D188" s="160"/>
    </row>
    <row r="189" spans="4:4" x14ac:dyDescent="0.25">
      <c r="D189" s="160"/>
    </row>
    <row r="190" spans="4:4" x14ac:dyDescent="0.25">
      <c r="D190" s="160"/>
    </row>
    <row r="191" spans="4:4" x14ac:dyDescent="0.25">
      <c r="D191" s="160"/>
    </row>
    <row r="192" spans="4:4" x14ac:dyDescent="0.25">
      <c r="D192" s="160"/>
    </row>
    <row r="193" spans="4:4" x14ac:dyDescent="0.25">
      <c r="D193" s="160"/>
    </row>
    <row r="194" spans="4:4" x14ac:dyDescent="0.25">
      <c r="D194" s="160"/>
    </row>
    <row r="195" spans="4:4" x14ac:dyDescent="0.25">
      <c r="D195" s="160"/>
    </row>
    <row r="196" spans="4:4" x14ac:dyDescent="0.25">
      <c r="D196" s="160"/>
    </row>
    <row r="197" spans="4:4" x14ac:dyDescent="0.25">
      <c r="D197" s="160"/>
    </row>
    <row r="198" spans="4:4" x14ac:dyDescent="0.25">
      <c r="D198" s="160"/>
    </row>
    <row r="199" spans="4:4" x14ac:dyDescent="0.25">
      <c r="D199" s="160"/>
    </row>
    <row r="200" spans="4:4" x14ac:dyDescent="0.25">
      <c r="D200" s="160"/>
    </row>
    <row r="201" spans="4:4" x14ac:dyDescent="0.25">
      <c r="D201" s="160"/>
    </row>
    <row r="202" spans="4:4" x14ac:dyDescent="0.25">
      <c r="D202" s="160"/>
    </row>
    <row r="203" spans="4:4" x14ac:dyDescent="0.25">
      <c r="D203" s="160"/>
    </row>
    <row r="204" spans="4:4" x14ac:dyDescent="0.25">
      <c r="D204" s="160"/>
    </row>
    <row r="205" spans="4:4" x14ac:dyDescent="0.25">
      <c r="D205" s="160"/>
    </row>
    <row r="206" spans="4:4" x14ac:dyDescent="0.25">
      <c r="D206" s="160"/>
    </row>
    <row r="207" spans="4:4" x14ac:dyDescent="0.25">
      <c r="D207" s="160"/>
    </row>
    <row r="208" spans="4:4" x14ac:dyDescent="0.25">
      <c r="D208" s="160"/>
    </row>
    <row r="209" spans="4:4" x14ac:dyDescent="0.25">
      <c r="D209" s="160"/>
    </row>
    <row r="210" spans="4:4" x14ac:dyDescent="0.25">
      <c r="D210" s="160"/>
    </row>
    <row r="211" spans="4:4" x14ac:dyDescent="0.25">
      <c r="D211" s="160"/>
    </row>
    <row r="212" spans="4:4" x14ac:dyDescent="0.25">
      <c r="D212" s="160"/>
    </row>
    <row r="213" spans="4:4" x14ac:dyDescent="0.25">
      <c r="D213" s="160"/>
    </row>
    <row r="214" spans="4:4" x14ac:dyDescent="0.25">
      <c r="D214" s="160"/>
    </row>
    <row r="215" spans="4:4" x14ac:dyDescent="0.25">
      <c r="D215" s="160"/>
    </row>
    <row r="216" spans="4:4" x14ac:dyDescent="0.25">
      <c r="D216" s="160"/>
    </row>
    <row r="217" spans="4:4" x14ac:dyDescent="0.25">
      <c r="D217" s="160"/>
    </row>
  </sheetData>
  <phoneticPr fontId="32" type="noConversion"/>
  <pageMargins left="0.5" right="0.5" top="1" bottom="1" header="0.5" footer="0.5"/>
  <pageSetup orientation="portrait" horizontalDpi="4294967292" verticalDpi="4294967292" r:id="rId1"/>
  <headerFooter>
    <oddHeader>&amp;C&amp;"-,Bold"Benefits: Flood Risk Reduction</oddHeader>
    <oddFooter>&amp;LFlood Control 2.0: Benefit-Cost Tool&amp;RJanuary 2016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&lt;Click to Select Discount Rate&gt;">
          <x14:formula1>
            <xm:f>Project_Assumptions!$C$9:$C$11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91" zoomScaleNormal="91" zoomScalePageLayoutView="91" workbookViewId="0"/>
  </sheetViews>
  <sheetFormatPr defaultColWidth="10.875" defaultRowHeight="15" x14ac:dyDescent="0.25"/>
  <cols>
    <col min="1" max="1" width="28.125" style="169" customWidth="1"/>
    <col min="2" max="2" width="10.875" style="169" customWidth="1"/>
    <col min="3" max="3" width="10.5" style="176" customWidth="1"/>
    <col min="4" max="4" width="13.125" style="169" customWidth="1"/>
    <col min="5" max="5" width="23.875" style="176" customWidth="1"/>
    <col min="6" max="6" width="11.375" style="169" bestFit="1" customWidth="1"/>
    <col min="7" max="7" width="22.125" style="176" customWidth="1"/>
    <col min="8" max="8" width="7.375" style="169" bestFit="1" customWidth="1"/>
    <col min="9" max="9" width="11.375" style="169" customWidth="1"/>
    <col min="10" max="10" width="9.5" style="169" bestFit="1" customWidth="1"/>
    <col min="11" max="11" width="13" style="169" bestFit="1" customWidth="1"/>
    <col min="12" max="12" width="18.625" style="169" bestFit="1" customWidth="1"/>
    <col min="13" max="13" width="26.875" style="169" bestFit="1" customWidth="1"/>
    <col min="14" max="14" width="29" style="169" customWidth="1"/>
    <col min="15" max="16384" width="10.875" style="169"/>
  </cols>
  <sheetData>
    <row r="1" spans="1:14" s="165" customFormat="1" x14ac:dyDescent="0.25">
      <c r="A1" s="165" t="s">
        <v>149</v>
      </c>
      <c r="B1" s="165" t="s">
        <v>145</v>
      </c>
      <c r="C1" s="166" t="s">
        <v>56</v>
      </c>
      <c r="D1" s="165" t="s">
        <v>146</v>
      </c>
      <c r="E1" s="166" t="s">
        <v>56</v>
      </c>
      <c r="F1" s="369" t="s">
        <v>224</v>
      </c>
      <c r="G1" s="370"/>
      <c r="H1" s="369"/>
    </row>
    <row r="2" spans="1:14" ht="45" x14ac:dyDescent="0.25">
      <c r="A2" s="167" t="s">
        <v>57</v>
      </c>
      <c r="B2" s="281">
        <v>0</v>
      </c>
      <c r="C2" s="168" t="s">
        <v>230</v>
      </c>
      <c r="D2" s="281">
        <v>20</v>
      </c>
      <c r="E2" s="168" t="s">
        <v>226</v>
      </c>
      <c r="F2" s="371">
        <v>30</v>
      </c>
      <c r="G2" s="372"/>
      <c r="H2" s="371"/>
    </row>
    <row r="3" spans="1:14" ht="45" x14ac:dyDescent="0.25">
      <c r="A3" s="170" t="s">
        <v>58</v>
      </c>
      <c r="B3" s="282">
        <v>0</v>
      </c>
      <c r="C3" s="375" t="s">
        <v>231</v>
      </c>
      <c r="D3" s="282">
        <v>3</v>
      </c>
      <c r="E3" s="171" t="s">
        <v>225</v>
      </c>
      <c r="F3" s="371">
        <v>18</v>
      </c>
      <c r="G3" s="372"/>
      <c r="H3" s="371"/>
    </row>
    <row r="4" spans="1:14" ht="30" x14ac:dyDescent="0.25">
      <c r="A4" s="170" t="s">
        <v>59</v>
      </c>
      <c r="B4" s="282">
        <v>0</v>
      </c>
      <c r="C4" s="375" t="s">
        <v>231</v>
      </c>
      <c r="D4" s="282">
        <v>11</v>
      </c>
      <c r="E4" s="171" t="s">
        <v>227</v>
      </c>
      <c r="F4" s="371">
        <v>14</v>
      </c>
      <c r="G4" s="372"/>
      <c r="H4" s="371"/>
    </row>
    <row r="5" spans="1:14" x14ac:dyDescent="0.25">
      <c r="A5" s="170" t="s">
        <v>60</v>
      </c>
      <c r="B5" s="282">
        <v>0</v>
      </c>
      <c r="C5" s="375" t="s">
        <v>231</v>
      </c>
      <c r="D5" s="282">
        <v>15</v>
      </c>
      <c r="E5" s="171" t="s">
        <v>228</v>
      </c>
      <c r="F5" s="371">
        <v>18</v>
      </c>
      <c r="G5" s="372"/>
      <c r="H5" s="371"/>
    </row>
    <row r="6" spans="1:14" ht="45" x14ac:dyDescent="0.25">
      <c r="A6" s="181" t="s">
        <v>19</v>
      </c>
      <c r="B6" s="283">
        <v>0</v>
      </c>
      <c r="C6" s="376" t="s">
        <v>231</v>
      </c>
      <c r="D6" s="283">
        <v>15</v>
      </c>
      <c r="E6" s="182" t="s">
        <v>229</v>
      </c>
      <c r="F6" s="371">
        <v>20</v>
      </c>
      <c r="G6" s="372"/>
      <c r="H6" s="371"/>
    </row>
    <row r="7" spans="1:14" s="165" customFormat="1" x14ac:dyDescent="0.25">
      <c r="A7" s="172" t="s">
        <v>61</v>
      </c>
      <c r="B7" s="177">
        <f>SUM(B2:B6)</f>
        <v>0</v>
      </c>
      <c r="C7" s="173"/>
      <c r="D7" s="177">
        <f>SUM(D2:D6)</f>
        <v>64</v>
      </c>
      <c r="E7" s="173"/>
      <c r="F7" s="369">
        <v>100</v>
      </c>
      <c r="G7" s="370"/>
      <c r="H7" s="369"/>
    </row>
    <row r="8" spans="1:14" x14ac:dyDescent="0.25">
      <c r="A8" s="170"/>
      <c r="B8" s="170"/>
      <c r="C8" s="171"/>
      <c r="D8" s="170"/>
      <c r="E8" s="171"/>
      <c r="F8" s="371"/>
      <c r="G8" s="372"/>
      <c r="H8" s="371"/>
    </row>
    <row r="9" spans="1:14" x14ac:dyDescent="0.25">
      <c r="A9" s="172" t="s">
        <v>62</v>
      </c>
      <c r="B9" s="170"/>
      <c r="C9" s="171"/>
      <c r="D9" s="170"/>
      <c r="E9" s="171" t="s">
        <v>9</v>
      </c>
      <c r="F9" s="371"/>
      <c r="G9" s="372"/>
      <c r="H9" s="371"/>
    </row>
    <row r="10" spans="1:14" s="165" customFormat="1" x14ac:dyDescent="0.25">
      <c r="A10" s="184" t="s">
        <v>160</v>
      </c>
      <c r="B10" s="363">
        <v>0</v>
      </c>
      <c r="C10" s="185"/>
      <c r="D10" s="188">
        <f>0.0823181818181818*D7+2.9809</f>
        <v>8.2492636363636365</v>
      </c>
      <c r="E10" s="185"/>
      <c r="F10" s="373"/>
      <c r="G10" s="370"/>
      <c r="H10" s="369"/>
    </row>
    <row r="11" spans="1:14" s="165" customFormat="1" x14ac:dyDescent="0.25">
      <c r="A11" s="183" t="s">
        <v>161</v>
      </c>
      <c r="B11" s="364">
        <v>0</v>
      </c>
      <c r="D11" s="189">
        <f>0.0652090909090909*D7+5.0511</f>
        <v>9.2244818181818182</v>
      </c>
      <c r="E11" s="165" t="s">
        <v>232</v>
      </c>
      <c r="F11" s="374"/>
      <c r="G11" s="370"/>
      <c r="H11" s="369"/>
    </row>
    <row r="12" spans="1:14" s="165" customFormat="1" x14ac:dyDescent="0.25">
      <c r="A12" s="183" t="s">
        <v>159</v>
      </c>
      <c r="B12" s="365">
        <v>0</v>
      </c>
      <c r="C12" s="173"/>
      <c r="D12" s="190">
        <f>0.199454545454545*D7+22.71</f>
        <v>35.475090909090881</v>
      </c>
      <c r="E12" s="173" t="s">
        <v>232</v>
      </c>
      <c r="F12" s="373"/>
      <c r="G12" s="370"/>
      <c r="H12" s="369"/>
    </row>
    <row r="13" spans="1:14" s="165" customFormat="1" ht="30" x14ac:dyDescent="0.25">
      <c r="A13" s="186" t="s">
        <v>162</v>
      </c>
      <c r="B13" s="366">
        <v>0</v>
      </c>
      <c r="C13" s="187"/>
      <c r="D13" s="191">
        <f>0.3042*D7+8.6371</f>
        <v>28.105900000000002</v>
      </c>
      <c r="E13" s="187" t="s">
        <v>232</v>
      </c>
      <c r="F13" s="374"/>
      <c r="G13" s="370"/>
      <c r="H13" s="369"/>
    </row>
    <row r="14" spans="1:14" x14ac:dyDescent="0.25">
      <c r="A14" s="170"/>
      <c r="B14" s="170"/>
      <c r="C14" s="171"/>
      <c r="D14" s="170"/>
      <c r="E14" s="171"/>
      <c r="F14" s="170"/>
      <c r="G14" s="171"/>
      <c r="H14" s="170"/>
    </row>
    <row r="15" spans="1:14" x14ac:dyDescent="0.25">
      <c r="A15" s="170"/>
      <c r="B15" s="170"/>
      <c r="C15" s="171"/>
      <c r="D15" s="170"/>
      <c r="E15" s="171"/>
      <c r="F15" s="170"/>
      <c r="G15" s="171"/>
      <c r="H15" s="170"/>
      <c r="J15" s="174"/>
      <c r="K15" s="174"/>
      <c r="L15" s="171"/>
      <c r="M15" s="170"/>
      <c r="N15" s="171"/>
    </row>
    <row r="16" spans="1:14" x14ac:dyDescent="0.25">
      <c r="A16" s="172" t="s">
        <v>155</v>
      </c>
      <c r="B16" s="170"/>
      <c r="C16" s="171"/>
      <c r="D16" s="170"/>
      <c r="E16" s="171"/>
      <c r="F16" s="170"/>
      <c r="G16" s="171"/>
      <c r="H16" s="170"/>
    </row>
    <row r="17" spans="1:14" ht="51" customHeight="1" x14ac:dyDescent="0.25">
      <c r="A17" s="327" t="s">
        <v>148</v>
      </c>
      <c r="B17" s="328" t="s">
        <v>160</v>
      </c>
      <c r="C17" s="328" t="s">
        <v>161</v>
      </c>
      <c r="D17" s="328" t="s">
        <v>159</v>
      </c>
      <c r="E17" s="328" t="s">
        <v>162</v>
      </c>
      <c r="F17" s="170"/>
      <c r="G17" s="171"/>
      <c r="H17" s="170"/>
      <c r="J17" s="174"/>
      <c r="K17" s="174"/>
      <c r="L17" s="171"/>
      <c r="M17" s="170"/>
      <c r="N17" s="171"/>
    </row>
    <row r="18" spans="1:14" x14ac:dyDescent="0.25">
      <c r="A18" s="329">
        <v>0</v>
      </c>
      <c r="B18" s="330">
        <v>3.9</v>
      </c>
      <c r="C18" s="330">
        <v>5.61</v>
      </c>
      <c r="D18" s="330">
        <v>27.33</v>
      </c>
      <c r="E18" s="330">
        <v>15.86</v>
      </c>
      <c r="F18" s="170"/>
      <c r="G18" s="171"/>
      <c r="H18" s="170"/>
      <c r="J18" s="174"/>
      <c r="K18" s="174"/>
      <c r="L18" s="171"/>
      <c r="M18" s="170"/>
      <c r="N18" s="171"/>
    </row>
    <row r="19" spans="1:14" x14ac:dyDescent="0.25">
      <c r="A19" s="331">
        <v>10</v>
      </c>
      <c r="B19" s="332">
        <v>4.6399999999999997</v>
      </c>
      <c r="C19" s="332">
        <v>6.35</v>
      </c>
      <c r="D19" s="332">
        <v>28.07</v>
      </c>
      <c r="E19" s="332">
        <v>16.84</v>
      </c>
      <c r="F19" s="170"/>
      <c r="G19" s="171"/>
      <c r="H19" s="170"/>
      <c r="J19" s="174"/>
      <c r="K19" s="174"/>
      <c r="L19" s="171"/>
      <c r="M19" s="170"/>
      <c r="N19" s="171"/>
    </row>
    <row r="20" spans="1:14" x14ac:dyDescent="0.25">
      <c r="A20" s="331">
        <v>20</v>
      </c>
      <c r="B20" s="332">
        <v>5.12</v>
      </c>
      <c r="C20" s="332">
        <v>6.83</v>
      </c>
      <c r="D20" s="332">
        <v>28.55</v>
      </c>
      <c r="E20" s="332">
        <v>18.059999999999999</v>
      </c>
      <c r="F20" s="170"/>
      <c r="G20" s="171"/>
      <c r="H20" s="170"/>
      <c r="J20" s="174"/>
      <c r="K20" s="174"/>
      <c r="L20" s="171"/>
      <c r="M20" s="170"/>
      <c r="N20" s="171"/>
    </row>
    <row r="21" spans="1:14" x14ac:dyDescent="0.25">
      <c r="A21" s="331">
        <v>30</v>
      </c>
      <c r="B21" s="332">
        <v>5.86</v>
      </c>
      <c r="C21" s="332">
        <v>7.57</v>
      </c>
      <c r="D21" s="332">
        <v>29.29</v>
      </c>
      <c r="E21" s="332">
        <v>19.52</v>
      </c>
      <c r="F21" s="170"/>
      <c r="G21" s="171"/>
      <c r="H21" s="170"/>
      <c r="J21" s="174"/>
      <c r="K21" s="174"/>
      <c r="L21" s="171"/>
      <c r="M21" s="170"/>
      <c r="N21" s="171"/>
    </row>
    <row r="22" spans="1:14" x14ac:dyDescent="0.25">
      <c r="A22" s="331">
        <v>40</v>
      </c>
      <c r="B22" s="332">
        <v>7.32</v>
      </c>
      <c r="C22" s="332">
        <v>8.3000000000000007</v>
      </c>
      <c r="D22" s="332">
        <v>30.02</v>
      </c>
      <c r="E22" s="332">
        <v>20.74</v>
      </c>
      <c r="F22" s="170"/>
      <c r="G22" s="171"/>
      <c r="H22" s="170"/>
      <c r="J22" s="174"/>
      <c r="K22" s="174"/>
      <c r="L22" s="171"/>
      <c r="M22" s="170"/>
      <c r="N22" s="171"/>
    </row>
    <row r="23" spans="1:14" x14ac:dyDescent="0.25">
      <c r="A23" s="331">
        <v>50</v>
      </c>
      <c r="B23" s="332">
        <v>8.3000000000000007</v>
      </c>
      <c r="C23" s="332">
        <v>9.0299999999999994</v>
      </c>
      <c r="D23" s="332">
        <v>32.950000000000003</v>
      </c>
      <c r="E23" s="332">
        <v>23.43</v>
      </c>
      <c r="F23" s="170"/>
      <c r="G23" s="171"/>
      <c r="H23" s="170"/>
      <c r="J23" s="174"/>
      <c r="K23" s="174"/>
      <c r="L23" s="171"/>
      <c r="M23" s="170"/>
      <c r="N23" s="171"/>
    </row>
    <row r="24" spans="1:14" x14ac:dyDescent="0.25">
      <c r="A24" s="331">
        <v>60</v>
      </c>
      <c r="B24" s="332">
        <v>9.0299999999999994</v>
      </c>
      <c r="C24" s="332">
        <v>10.01</v>
      </c>
      <c r="D24" s="332">
        <v>35.869999999999997</v>
      </c>
      <c r="E24" s="332">
        <v>25.87</v>
      </c>
      <c r="F24" s="170"/>
      <c r="G24" s="171"/>
      <c r="H24" s="170"/>
      <c r="J24" s="174"/>
      <c r="K24" s="174"/>
      <c r="L24" s="171"/>
      <c r="M24" s="170"/>
      <c r="N24" s="171"/>
    </row>
    <row r="25" spans="1:14" x14ac:dyDescent="0.25">
      <c r="A25" s="331">
        <v>70</v>
      </c>
      <c r="B25" s="332">
        <v>9.52</v>
      </c>
      <c r="C25" s="332">
        <v>10.49</v>
      </c>
      <c r="D25" s="332">
        <v>38.07</v>
      </c>
      <c r="E25" s="332">
        <v>31.24</v>
      </c>
      <c r="F25" s="170"/>
      <c r="G25" s="171"/>
      <c r="H25" s="170"/>
      <c r="J25" s="174"/>
      <c r="K25" s="174"/>
      <c r="L25" s="171"/>
      <c r="M25" s="170"/>
      <c r="N25" s="171"/>
    </row>
    <row r="26" spans="1:14" x14ac:dyDescent="0.25">
      <c r="A26" s="331">
        <v>80</v>
      </c>
      <c r="B26" s="332">
        <v>10.49</v>
      </c>
      <c r="C26" s="332">
        <v>11.23</v>
      </c>
      <c r="D26" s="332">
        <v>41</v>
      </c>
      <c r="E26" s="332">
        <v>36.36</v>
      </c>
      <c r="F26" s="170"/>
      <c r="G26" s="171"/>
      <c r="H26" s="170"/>
      <c r="J26" s="174"/>
      <c r="K26" s="174"/>
      <c r="L26" s="171"/>
      <c r="M26" s="170"/>
      <c r="N26" s="171"/>
    </row>
    <row r="27" spans="1:14" x14ac:dyDescent="0.25">
      <c r="A27" s="331">
        <v>90</v>
      </c>
      <c r="B27" s="332">
        <v>11.23</v>
      </c>
      <c r="C27" s="332">
        <v>11.47</v>
      </c>
      <c r="D27" s="332">
        <v>43.93</v>
      </c>
      <c r="E27" s="332">
        <v>41.49</v>
      </c>
      <c r="F27" s="170"/>
      <c r="G27" s="171"/>
      <c r="H27" s="170"/>
      <c r="J27" s="174"/>
      <c r="K27" s="174"/>
      <c r="L27" s="171"/>
      <c r="M27" s="170"/>
      <c r="N27" s="171"/>
    </row>
    <row r="28" spans="1:14" x14ac:dyDescent="0.25">
      <c r="A28" s="333">
        <v>100</v>
      </c>
      <c r="B28" s="334">
        <v>11.71</v>
      </c>
      <c r="C28" s="334">
        <v>11.71</v>
      </c>
      <c r="D28" s="334">
        <v>46.37</v>
      </c>
      <c r="E28" s="334">
        <v>46.37</v>
      </c>
      <c r="F28" s="170"/>
      <c r="G28" s="171"/>
      <c r="H28" s="170"/>
      <c r="J28" s="174"/>
      <c r="K28" s="174"/>
      <c r="L28" s="171"/>
      <c r="M28" s="170"/>
      <c r="N28" s="171"/>
    </row>
    <row r="29" spans="1:14" x14ac:dyDescent="0.25">
      <c r="A29" s="170"/>
      <c r="B29" s="170"/>
      <c r="C29" s="171"/>
      <c r="D29" s="170"/>
      <c r="E29" s="171"/>
      <c r="F29" s="170"/>
      <c r="G29" s="171"/>
      <c r="H29" s="170"/>
      <c r="J29" s="174"/>
      <c r="K29" s="174"/>
      <c r="L29" s="171"/>
      <c r="M29" s="170"/>
      <c r="N29" s="171"/>
    </row>
    <row r="30" spans="1:14" x14ac:dyDescent="0.25">
      <c r="A30" s="174" t="s">
        <v>63</v>
      </c>
      <c r="B30" s="174" t="s">
        <v>147</v>
      </c>
      <c r="C30" s="171"/>
      <c r="D30" s="170"/>
      <c r="E30" s="171"/>
      <c r="F30" s="170"/>
      <c r="G30" s="171"/>
      <c r="H30" s="170"/>
      <c r="J30" s="174"/>
      <c r="K30" s="174"/>
      <c r="L30" s="171"/>
      <c r="M30" s="170"/>
      <c r="N30" s="171"/>
    </row>
    <row r="31" spans="1:14" x14ac:dyDescent="0.25">
      <c r="A31" s="170"/>
      <c r="B31" s="170"/>
      <c r="C31" s="171"/>
      <c r="D31" s="170"/>
      <c r="E31" s="171"/>
      <c r="F31" s="170"/>
      <c r="G31" s="171"/>
      <c r="H31" s="170"/>
      <c r="J31" s="174"/>
      <c r="K31" s="174"/>
      <c r="L31" s="171"/>
      <c r="M31" s="170"/>
      <c r="N31" s="171"/>
    </row>
    <row r="32" spans="1:14" x14ac:dyDescent="0.25">
      <c r="M32" s="174"/>
      <c r="N32" s="175"/>
    </row>
    <row r="33" spans="1:7" s="165" customFormat="1" ht="45" x14ac:dyDescent="0.25">
      <c r="A33" s="177" t="s">
        <v>153</v>
      </c>
      <c r="B33" s="178" t="s">
        <v>160</v>
      </c>
      <c r="C33" s="179" t="s">
        <v>161</v>
      </c>
      <c r="D33" s="179" t="s">
        <v>159</v>
      </c>
      <c r="E33" s="179" t="s">
        <v>162</v>
      </c>
      <c r="F33" s="192"/>
      <c r="G33" s="377" t="s">
        <v>164</v>
      </c>
    </row>
    <row r="34" spans="1:7" x14ac:dyDescent="0.25">
      <c r="A34" s="167" t="s">
        <v>151</v>
      </c>
      <c r="B34" s="284">
        <v>0</v>
      </c>
      <c r="C34" s="285">
        <v>0</v>
      </c>
      <c r="D34" s="281">
        <v>0</v>
      </c>
      <c r="E34" s="285">
        <v>0</v>
      </c>
      <c r="G34" s="378">
        <f>Project_Assumptions!C6</f>
        <v>30</v>
      </c>
    </row>
    <row r="35" spans="1:7" x14ac:dyDescent="0.25">
      <c r="A35" s="170" t="s">
        <v>150</v>
      </c>
      <c r="B35" s="286">
        <v>0</v>
      </c>
      <c r="C35" s="286">
        <v>0</v>
      </c>
      <c r="D35" s="286">
        <v>0</v>
      </c>
      <c r="E35" s="286">
        <v>0</v>
      </c>
      <c r="G35" s="379"/>
    </row>
    <row r="36" spans="1:7" x14ac:dyDescent="0.25">
      <c r="A36" s="181" t="s">
        <v>152</v>
      </c>
      <c r="B36" s="325">
        <f>AVERAGE((B34*(1+B35)^Project_Assumptions!$C$6),B34)</f>
        <v>0</v>
      </c>
      <c r="C36" s="325">
        <f>AVERAGE((C34*(1+C35)^Project_Assumptions!$C$6),C34)</f>
        <v>0</v>
      </c>
      <c r="D36" s="325">
        <f>AVERAGE((D34*(1+D35)^Project_Assumptions!$C$6),D34)</f>
        <v>0</v>
      </c>
      <c r="E36" s="325">
        <f>AVERAGE((E34*(1+E35)^Project_Assumptions!$C$6),E34)</f>
        <v>0</v>
      </c>
      <c r="G36" s="380" t="s">
        <v>163</v>
      </c>
    </row>
    <row r="37" spans="1:7" x14ac:dyDescent="0.25">
      <c r="G37" s="381">
        <f>Benefits_FloodRisk!B2</f>
        <v>3.3750000000000002E-2</v>
      </c>
    </row>
    <row r="38" spans="1:7" s="165" customFormat="1" ht="45" x14ac:dyDescent="0.25">
      <c r="A38" s="197" t="s">
        <v>154</v>
      </c>
      <c r="B38" s="179" t="s">
        <v>160</v>
      </c>
      <c r="C38" s="179" t="s">
        <v>161</v>
      </c>
      <c r="D38" s="179" t="s">
        <v>159</v>
      </c>
      <c r="E38" s="179" t="s">
        <v>162</v>
      </c>
      <c r="F38" s="192"/>
    </row>
    <row r="39" spans="1:7" x14ac:dyDescent="0.25">
      <c r="A39" s="167" t="s">
        <v>151</v>
      </c>
      <c r="B39" s="284">
        <v>30000</v>
      </c>
      <c r="C39" s="285">
        <v>0</v>
      </c>
      <c r="D39" s="281">
        <v>0</v>
      </c>
      <c r="E39" s="285">
        <v>0</v>
      </c>
      <c r="G39" s="169"/>
    </row>
    <row r="40" spans="1:7" x14ac:dyDescent="0.25">
      <c r="A40" s="170" t="s">
        <v>150</v>
      </c>
      <c r="B40" s="286">
        <v>1.0999999999999999E-2</v>
      </c>
      <c r="C40" s="286">
        <v>1.0999999999999999E-2</v>
      </c>
      <c r="D40" s="286">
        <v>1.0999999999999999E-2</v>
      </c>
      <c r="E40" s="286">
        <v>1.0999999999999999E-2</v>
      </c>
      <c r="G40" s="169"/>
    </row>
    <row r="41" spans="1:7" x14ac:dyDescent="0.25">
      <c r="A41" s="181" t="s">
        <v>152</v>
      </c>
      <c r="B41" s="325">
        <f>AVERAGE((B39*(1+B40)^Project_Assumptions!$C$6),B39)</f>
        <v>35826.962103128637</v>
      </c>
      <c r="C41" s="325">
        <f>AVERAGE((C39*(1+C40)^Project_Assumptions!$C$6),C39)</f>
        <v>0</v>
      </c>
      <c r="D41" s="325">
        <f>AVERAGE((D39*(1+D40)^Project_Assumptions!$C$6),D39)</f>
        <v>0</v>
      </c>
      <c r="E41" s="325">
        <f>AVERAGE((E39*(1+E40)^Project_Assumptions!$C$6),E39)</f>
        <v>0</v>
      </c>
      <c r="G41" s="169"/>
    </row>
    <row r="42" spans="1:7" x14ac:dyDescent="0.25">
      <c r="G42" s="169"/>
    </row>
    <row r="43" spans="1:7" ht="45" x14ac:dyDescent="0.25">
      <c r="A43" s="197" t="s">
        <v>156</v>
      </c>
      <c r="B43" s="179" t="s">
        <v>160</v>
      </c>
      <c r="C43" s="179" t="s">
        <v>161</v>
      </c>
      <c r="D43" s="179" t="s">
        <v>159</v>
      </c>
      <c r="E43" s="179" t="s">
        <v>162</v>
      </c>
      <c r="F43" s="179" t="s">
        <v>171</v>
      </c>
      <c r="G43" s="180" t="s">
        <v>158</v>
      </c>
    </row>
    <row r="44" spans="1:7" x14ac:dyDescent="0.25">
      <c r="A44" s="167" t="s">
        <v>8</v>
      </c>
      <c r="B44" s="193"/>
      <c r="C44" s="194"/>
      <c r="D44" s="193"/>
      <c r="E44" s="194"/>
      <c r="F44" s="194">
        <f>SUM(B44:E44)</f>
        <v>0</v>
      </c>
      <c r="G44" s="194">
        <f>IF($G$37=0,F44*$G$34,F44*((1-((1+$G$37)^-($G$34)))/$G$37))</f>
        <v>0</v>
      </c>
    </row>
    <row r="45" spans="1:7" x14ac:dyDescent="0.25">
      <c r="A45" s="170" t="s">
        <v>6</v>
      </c>
      <c r="B45" s="195">
        <f>B36*B10</f>
        <v>0</v>
      </c>
      <c r="C45" s="195">
        <f>C36*B11</f>
        <v>0</v>
      </c>
      <c r="D45" s="195">
        <f>D36*B12</f>
        <v>0</v>
      </c>
      <c r="E45" s="195">
        <f>E36*B13</f>
        <v>0</v>
      </c>
      <c r="F45" s="195">
        <f t="shared" ref="F45:F46" si="0">SUM(B45:E45)</f>
        <v>0</v>
      </c>
      <c r="G45" s="195">
        <f>IF($G$37=0,F45*$G$34,F45*((1-((1+$G$37)^-($G$34)))/$G$37))</f>
        <v>0</v>
      </c>
    </row>
    <row r="46" spans="1:7" x14ac:dyDescent="0.25">
      <c r="A46" s="181" t="s">
        <v>7</v>
      </c>
      <c r="B46" s="196"/>
      <c r="C46" s="196"/>
      <c r="D46" s="196"/>
      <c r="E46" s="196"/>
      <c r="F46" s="196">
        <f t="shared" si="0"/>
        <v>0</v>
      </c>
      <c r="G46" s="196">
        <f>IF($G$37=0,F46*$G$34,F46*((1-((1+$G$37)^-($G$34)))/$G$37))</f>
        <v>0</v>
      </c>
    </row>
    <row r="47" spans="1:7" x14ac:dyDescent="0.25">
      <c r="G47" s="169"/>
    </row>
    <row r="48" spans="1:7" ht="45" x14ac:dyDescent="0.25">
      <c r="A48" s="197" t="s">
        <v>157</v>
      </c>
      <c r="B48" s="179" t="s">
        <v>160</v>
      </c>
      <c r="C48" s="179" t="s">
        <v>161</v>
      </c>
      <c r="D48" s="179" t="s">
        <v>159</v>
      </c>
      <c r="E48" s="179" t="s">
        <v>162</v>
      </c>
      <c r="F48" s="179" t="s">
        <v>171</v>
      </c>
      <c r="G48" s="180" t="s">
        <v>158</v>
      </c>
    </row>
    <row r="49" spans="1:7" x14ac:dyDescent="0.25">
      <c r="A49" s="167" t="s">
        <v>8</v>
      </c>
      <c r="B49" s="193"/>
      <c r="C49" s="194"/>
      <c r="D49" s="193"/>
      <c r="E49" s="194"/>
      <c r="F49" s="194">
        <f>F50*0.9</f>
        <v>265991.45011084544</v>
      </c>
      <c r="G49" s="194">
        <f>IF($G$37=0,F49*$G$34,F49*((1-((1+$G$37)^-($G$34)))/$G$37))</f>
        <v>4969651.5327348821</v>
      </c>
    </row>
    <row r="50" spans="1:7" x14ac:dyDescent="0.25">
      <c r="A50" s="170" t="s">
        <v>6</v>
      </c>
      <c r="B50" s="195">
        <f>B41*D10</f>
        <v>295546.05567871715</v>
      </c>
      <c r="C50" s="195">
        <f>C41*D11</f>
        <v>0</v>
      </c>
      <c r="D50" s="195">
        <f>D41*D12</f>
        <v>0</v>
      </c>
      <c r="E50" s="195">
        <f>E41*D13</f>
        <v>0</v>
      </c>
      <c r="F50" s="195">
        <f t="shared" ref="F50" si="1">SUM(B50:E50)</f>
        <v>295546.05567871715</v>
      </c>
      <c r="G50" s="195">
        <f>IF($G$37=0,F50*$G$34,F50*((1-((1+$G$37)^-($G$34)))/$G$37))</f>
        <v>5521835.0363720907</v>
      </c>
    </row>
    <row r="51" spans="1:7" x14ac:dyDescent="0.25">
      <c r="A51" s="181" t="s">
        <v>7</v>
      </c>
      <c r="B51" s="196"/>
      <c r="C51" s="196"/>
      <c r="D51" s="196"/>
      <c r="E51" s="196"/>
      <c r="F51" s="196">
        <f>F50*1.1</f>
        <v>325100.66124658892</v>
      </c>
      <c r="G51" s="196">
        <f>IF($G$37=0,F51*$G$34,F51*((1-((1+$G$37)^-($G$34)))/$G$37))</f>
        <v>6074018.5400093012</v>
      </c>
    </row>
    <row r="52" spans="1:7" x14ac:dyDescent="0.25">
      <c r="G52" s="169"/>
    </row>
    <row r="53" spans="1:7" x14ac:dyDescent="0.25">
      <c r="B53" s="169">
        <f>35827*1.1</f>
        <v>39409.700000000004</v>
      </c>
    </row>
    <row r="54" spans="1:7" x14ac:dyDescent="0.25">
      <c r="B54" s="169">
        <f>35827*0.9</f>
        <v>32244.3</v>
      </c>
    </row>
    <row r="56" spans="1:7" s="170" customFormat="1" x14ac:dyDescent="0.25">
      <c r="G56" s="171"/>
    </row>
    <row r="57" spans="1:7" s="170" customFormat="1" x14ac:dyDescent="0.25">
      <c r="G57" s="171"/>
    </row>
    <row r="58" spans="1:7" s="170" customFormat="1" x14ac:dyDescent="0.25">
      <c r="G58" s="171"/>
    </row>
    <row r="59" spans="1:7" s="170" customFormat="1" x14ac:dyDescent="0.25">
      <c r="G59" s="171"/>
    </row>
    <row r="60" spans="1:7" s="170" customFormat="1" x14ac:dyDescent="0.25">
      <c r="G60" s="171"/>
    </row>
    <row r="61" spans="1:7" s="170" customFormat="1" x14ac:dyDescent="0.25">
      <c r="G61" s="171"/>
    </row>
    <row r="62" spans="1:7" s="170" customFormat="1" x14ac:dyDescent="0.25">
      <c r="G62" s="171"/>
    </row>
    <row r="63" spans="1:7" s="170" customFormat="1" x14ac:dyDescent="0.25">
      <c r="G63" s="171"/>
    </row>
    <row r="64" spans="1:7" s="170" customFormat="1" x14ac:dyDescent="0.25">
      <c r="G64" s="171"/>
    </row>
    <row r="65" spans="7:7" s="170" customFormat="1" x14ac:dyDescent="0.25">
      <c r="G65" s="171"/>
    </row>
    <row r="66" spans="7:7" s="170" customFormat="1" x14ac:dyDescent="0.25">
      <c r="G66" s="171"/>
    </row>
    <row r="67" spans="7:7" s="170" customFormat="1" x14ac:dyDescent="0.25">
      <c r="G67" s="171"/>
    </row>
    <row r="68" spans="7:7" s="170" customFormat="1" x14ac:dyDescent="0.25">
      <c r="G68" s="171"/>
    </row>
    <row r="69" spans="7:7" s="170" customFormat="1" x14ac:dyDescent="0.25">
      <c r="G69" s="171"/>
    </row>
    <row r="70" spans="7:7" s="174" customFormat="1" x14ac:dyDescent="0.25">
      <c r="G70" s="175"/>
    </row>
  </sheetData>
  <phoneticPr fontId="32" type="noConversion"/>
  <pageMargins left="0.25" right="0.25" top="0.75" bottom="0.75" header="0.3" footer="0.3"/>
  <pageSetup orientation="landscape" horizontalDpi="4294967292" verticalDpi="4294967292"/>
  <rowBreaks count="2" manualBreakCount="2">
    <brk id="15" max="16383" man="1"/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view="pageLayout" zoomScale="80" workbookViewId="0"/>
  </sheetViews>
  <sheetFormatPr defaultColWidth="10.875" defaultRowHeight="12.75" x14ac:dyDescent="0.2"/>
  <cols>
    <col min="1" max="1" width="26.875" style="68" customWidth="1"/>
    <col min="2" max="2" width="11" style="68" customWidth="1"/>
    <col min="3" max="3" width="10.125" style="69" customWidth="1"/>
    <col min="4" max="4" width="8.5" style="69" customWidth="1"/>
    <col min="5" max="5" width="8.5" style="69" bestFit="1" customWidth="1"/>
    <col min="6" max="6" width="11.375" style="69" customWidth="1"/>
    <col min="7" max="7" width="11.125" style="69" bestFit="1" customWidth="1"/>
    <col min="8" max="8" width="10.125" style="69" customWidth="1"/>
    <col min="9" max="9" width="9.625" style="68" bestFit="1" customWidth="1"/>
    <col min="10" max="10" width="9.375" style="68" customWidth="1"/>
    <col min="11" max="11" width="6.5" style="68" bestFit="1" customWidth="1"/>
    <col min="12" max="12" width="6.625" style="68" bestFit="1" customWidth="1"/>
    <col min="13" max="13" width="6" style="68" bestFit="1" customWidth="1"/>
    <col min="14" max="14" width="8.375" style="68" bestFit="1" customWidth="1"/>
    <col min="15" max="15" width="9.5" style="68" bestFit="1" customWidth="1"/>
    <col min="16" max="16" width="12.625" style="68" bestFit="1" customWidth="1"/>
    <col min="17" max="17" width="10.875" style="68"/>
    <col min="18" max="18" width="10.125" style="69" customWidth="1"/>
    <col min="19" max="19" width="9.625" style="68" bestFit="1" customWidth="1"/>
    <col min="20" max="20" width="9.375" style="68" customWidth="1"/>
    <col min="21" max="21" width="6.5" style="68" bestFit="1" customWidth="1"/>
    <col min="22" max="22" width="6.625" style="68" bestFit="1" customWidth="1"/>
    <col min="23" max="23" width="6" style="68" bestFit="1" customWidth="1"/>
    <col min="24" max="24" width="8.375" style="68" bestFit="1" customWidth="1"/>
    <col min="25" max="25" width="9.5" style="68" bestFit="1" customWidth="1"/>
    <col min="26" max="26" width="11.625" style="68" bestFit="1" customWidth="1"/>
    <col min="27" max="27" width="10.875" style="68"/>
    <col min="28" max="28" width="22.625" style="68" bestFit="1" customWidth="1"/>
    <col min="29" max="29" width="6.125" style="68" bestFit="1" customWidth="1"/>
    <col min="30" max="30" width="9.5" style="68" bestFit="1" customWidth="1"/>
    <col min="31" max="31" width="10.625" style="68" customWidth="1"/>
    <col min="32" max="32" width="6" style="68" bestFit="1" customWidth="1"/>
    <col min="33" max="33" width="5.375" style="68" customWidth="1"/>
    <col min="34" max="34" width="13" style="68" bestFit="1" customWidth="1"/>
    <col min="35" max="35" width="5.125" style="68" bestFit="1" customWidth="1"/>
    <col min="36" max="36" width="3.875" style="68" bestFit="1" customWidth="1"/>
    <col min="37" max="37" width="5.125" style="68" bestFit="1" customWidth="1"/>
    <col min="38" max="38" width="4.625" style="68" bestFit="1" customWidth="1"/>
    <col min="39" max="16384" width="10.875" style="68"/>
  </cols>
  <sheetData>
    <row r="1" spans="1:39" ht="26.25" x14ac:dyDescent="0.25">
      <c r="A1" s="51" t="s">
        <v>200</v>
      </c>
      <c r="B1" s="52" t="s">
        <v>70</v>
      </c>
      <c r="C1" s="52" t="s">
        <v>71</v>
      </c>
      <c r="D1" s="53" t="s">
        <v>72</v>
      </c>
      <c r="E1" s="53" t="s">
        <v>73</v>
      </c>
      <c r="F1" s="53" t="s">
        <v>74</v>
      </c>
      <c r="H1" s="249" t="str">
        <f>Project_Assumptions!B14</f>
        <v>No Action</v>
      </c>
      <c r="R1" s="249" t="str">
        <f>Alternatives_Assumptions!G1</f>
        <v>North</v>
      </c>
      <c r="S1" s="437"/>
      <c r="AB1" s="401" t="s">
        <v>250</v>
      </c>
      <c r="AC1" s="401" t="s">
        <v>251</v>
      </c>
      <c r="AD1" s="401" t="s">
        <v>6</v>
      </c>
      <c r="AE1" s="401" t="s">
        <v>252</v>
      </c>
      <c r="AF1" s="401" t="s">
        <v>253</v>
      </c>
      <c r="AG1" s="401"/>
      <c r="AH1" s="401" t="s">
        <v>204</v>
      </c>
      <c r="AI1" s="401" t="s">
        <v>251</v>
      </c>
      <c r="AJ1" s="401" t="s">
        <v>6</v>
      </c>
      <c r="AK1" s="401" t="s">
        <v>252</v>
      </c>
      <c r="AL1" s="401" t="s">
        <v>253</v>
      </c>
      <c r="AM1" s="68" t="s">
        <v>260</v>
      </c>
    </row>
    <row r="2" spans="1:39" x14ac:dyDescent="0.2">
      <c r="A2" s="57" t="s">
        <v>75</v>
      </c>
      <c r="B2" s="58">
        <v>78</v>
      </c>
      <c r="C2" s="242">
        <v>6565.9222044136395</v>
      </c>
      <c r="D2" s="242">
        <f>(E2-C2)*1.015</f>
        <v>-390.7720443160693</v>
      </c>
      <c r="E2" s="242">
        <v>6180.9251164175121</v>
      </c>
      <c r="F2" s="242">
        <f t="shared" ref="F2:F6" si="0">(E2+C2)*1.015</f>
        <v>12938.050030643617</v>
      </c>
      <c r="H2" s="67" t="s">
        <v>201</v>
      </c>
      <c r="K2" s="246"/>
      <c r="L2" s="246" t="s">
        <v>55</v>
      </c>
      <c r="M2" s="250">
        <f>Benefits_FloodRisk!B2</f>
        <v>3.3750000000000002E-2</v>
      </c>
      <c r="N2" s="246" t="s">
        <v>18</v>
      </c>
      <c r="O2" s="251">
        <f>NPV($M$2,O6:O35)</f>
        <v>6502.2475988530023</v>
      </c>
      <c r="P2" s="251">
        <f>NPV($M$2,P6:P35)</f>
        <v>10789020.263735706</v>
      </c>
      <c r="Q2" s="251">
        <f>NPV($M$2,Q6:Q35)</f>
        <v>27269707.368140534</v>
      </c>
      <c r="R2" s="67" t="s">
        <v>201</v>
      </c>
      <c r="U2" s="246"/>
      <c r="V2" s="246" t="s">
        <v>55</v>
      </c>
      <c r="W2" s="250">
        <f>M2</f>
        <v>3.3750000000000002E-2</v>
      </c>
      <c r="X2" s="246" t="s">
        <v>18</v>
      </c>
      <c r="Y2" s="251">
        <f>NPV($M$2,Y6:Y35)</f>
        <v>16272.637426649912</v>
      </c>
      <c r="Z2" s="251">
        <f>NPV($M$2,Z6:Z35)</f>
        <v>15518792.746077726</v>
      </c>
      <c r="AA2" s="251">
        <f>NPV($M$2,AA6:AA35)</f>
        <v>41729313.719754577</v>
      </c>
      <c r="AB2" s="119" t="s">
        <v>254</v>
      </c>
      <c r="AC2" s="119">
        <v>21.5</v>
      </c>
      <c r="AD2" s="119">
        <v>65</v>
      </c>
      <c r="AE2" s="119">
        <v>52</v>
      </c>
      <c r="AF2" s="119">
        <f>SUM(AC2:AE2)</f>
        <v>138.5</v>
      </c>
      <c r="AG2" s="119"/>
      <c r="AH2" s="119" t="s">
        <v>255</v>
      </c>
      <c r="AI2" s="119">
        <v>0</v>
      </c>
      <c r="AJ2" s="119">
        <v>40</v>
      </c>
      <c r="AK2" s="119">
        <v>0</v>
      </c>
      <c r="AL2" s="119">
        <f>SUM(AI2:AK2)</f>
        <v>40</v>
      </c>
      <c r="AM2" s="68">
        <f>AL2-AF2</f>
        <v>-98.5</v>
      </c>
    </row>
    <row r="3" spans="1:39" x14ac:dyDescent="0.2">
      <c r="A3" s="60" t="s">
        <v>77</v>
      </c>
      <c r="B3" s="61">
        <v>21</v>
      </c>
      <c r="C3" s="243">
        <v>15084.501343124408</v>
      </c>
      <c r="D3" s="243">
        <f t="shared" ref="D3:D6" si="1">(E3-C3)*1.015</f>
        <v>-5103.7504497707932</v>
      </c>
      <c r="E3" s="243">
        <v>10056.175776847764</v>
      </c>
      <c r="F3" s="243">
        <f t="shared" si="0"/>
        <v>25517.787276771749</v>
      </c>
      <c r="J3" s="69"/>
      <c r="N3" s="246" t="s">
        <v>54</v>
      </c>
      <c r="O3" s="251">
        <f>($M$2*O2)/(1-(1+$M$2)^-Project_Assumptions!$C$6)</f>
        <v>348.02083333333377</v>
      </c>
      <c r="P3" s="251">
        <f>($M$2*P2)/(1-(1+$M$2)^-Project_Assumptions!$C$6)</f>
        <v>577462.44909189141</v>
      </c>
      <c r="Q3" s="251">
        <f>($M$2*Q2)/(1-(1+$M$2)^-Project_Assumptions!$C$6)</f>
        <v>1459560.888559601</v>
      </c>
      <c r="T3" s="69"/>
      <c r="X3" s="246" t="s">
        <v>54</v>
      </c>
      <c r="Y3" s="251">
        <f>($M$2*Y2)/(1-(1+$M$2)^-Project_Assumptions!$C$6)</f>
        <v>870.96296344557686</v>
      </c>
      <c r="Z3" s="251">
        <f>($M$2*Z2)/(1-(1+$M$2)^-Project_Assumptions!$C$6)</f>
        <v>830614.81460195058</v>
      </c>
      <c r="AA3" s="251">
        <f>($M$2*AA2)/(1-(1+$M$2)^-Project_Assumptions!$C$6)</f>
        <v>2233484.7011576281</v>
      </c>
      <c r="AB3" s="119" t="s">
        <v>256</v>
      </c>
      <c r="AC3" s="119">
        <v>6.5</v>
      </c>
      <c r="AD3" s="119">
        <v>8</v>
      </c>
      <c r="AE3" s="119">
        <v>72</v>
      </c>
      <c r="AF3" s="119">
        <f t="shared" ref="AF3:AF6" si="2">SUM(AC3:AE3)</f>
        <v>86.5</v>
      </c>
      <c r="AG3" s="119"/>
      <c r="AH3" s="119" t="s">
        <v>256</v>
      </c>
      <c r="AI3" s="119">
        <v>2</v>
      </c>
      <c r="AJ3" s="119">
        <v>0</v>
      </c>
      <c r="AK3" s="119">
        <v>46</v>
      </c>
      <c r="AL3" s="119">
        <f t="shared" ref="AL3:AL6" si="3">SUM(AI3:AK3)</f>
        <v>48</v>
      </c>
      <c r="AM3" s="68">
        <f t="shared" ref="AM3:AM6" si="4">AL3-AF3</f>
        <v>-38.5</v>
      </c>
    </row>
    <row r="4" spans="1:39" x14ac:dyDescent="0.2">
      <c r="A4" s="60" t="s">
        <v>78</v>
      </c>
      <c r="B4" s="61">
        <v>39</v>
      </c>
      <c r="C4" s="243">
        <v>24310.44277893367</v>
      </c>
      <c r="D4" s="243">
        <f t="shared" si="1"/>
        <v>-9710.4185049454045</v>
      </c>
      <c r="E4" s="243">
        <v>14743.527995736225</v>
      </c>
      <c r="F4" s="243">
        <f t="shared" si="0"/>
        <v>39639.780336289943</v>
      </c>
      <c r="H4" s="73" t="s">
        <v>203</v>
      </c>
      <c r="AB4" s="119" t="s">
        <v>257</v>
      </c>
      <c r="AC4" s="119">
        <v>0</v>
      </c>
      <c r="AD4" s="119">
        <v>0</v>
      </c>
      <c r="AE4" s="119">
        <v>0</v>
      </c>
      <c r="AF4" s="119">
        <f t="shared" si="2"/>
        <v>0</v>
      </c>
      <c r="AG4" s="119"/>
      <c r="AH4" s="119" t="s">
        <v>257</v>
      </c>
      <c r="AI4" s="119">
        <v>18</v>
      </c>
      <c r="AJ4" s="119">
        <v>35</v>
      </c>
      <c r="AK4" s="119">
        <v>56</v>
      </c>
      <c r="AL4" s="119">
        <f t="shared" si="3"/>
        <v>109</v>
      </c>
      <c r="AM4" s="68">
        <f t="shared" si="4"/>
        <v>109</v>
      </c>
    </row>
    <row r="5" spans="1:39" ht="51" x14ac:dyDescent="0.2">
      <c r="A5" s="60" t="s">
        <v>79</v>
      </c>
      <c r="B5" s="61">
        <v>12</v>
      </c>
      <c r="C5" s="243">
        <v>19.800178521253194</v>
      </c>
      <c r="D5" s="243">
        <f t="shared" si="1"/>
        <v>24.313507808408968</v>
      </c>
      <c r="E5" s="243">
        <v>43.754373406385184</v>
      </c>
      <c r="F5" s="243">
        <f t="shared" si="0"/>
        <v>64.507870206552951</v>
      </c>
      <c r="H5" s="248" t="s">
        <v>82</v>
      </c>
      <c r="I5" s="247" t="s">
        <v>262</v>
      </c>
      <c r="J5" s="247" t="s">
        <v>76</v>
      </c>
      <c r="K5" s="247" t="s">
        <v>259</v>
      </c>
      <c r="L5" s="248" t="s">
        <v>264</v>
      </c>
      <c r="M5" s="248" t="s">
        <v>265</v>
      </c>
      <c r="N5" s="248" t="s">
        <v>261</v>
      </c>
      <c r="O5" s="252" t="s">
        <v>8</v>
      </c>
      <c r="P5" s="255" t="s">
        <v>6</v>
      </c>
      <c r="Q5" s="253" t="s">
        <v>7</v>
      </c>
      <c r="R5" s="248" t="s">
        <v>82</v>
      </c>
      <c r="S5" s="247" t="s">
        <v>262</v>
      </c>
      <c r="T5" s="247" t="s">
        <v>263</v>
      </c>
      <c r="U5" s="247" t="s">
        <v>259</v>
      </c>
      <c r="V5" s="248" t="s">
        <v>264</v>
      </c>
      <c r="W5" s="248" t="s">
        <v>265</v>
      </c>
      <c r="X5" s="248" t="s">
        <v>261</v>
      </c>
      <c r="Y5" s="252" t="s">
        <v>8</v>
      </c>
      <c r="Z5" s="255" t="s">
        <v>6</v>
      </c>
      <c r="AA5" s="253" t="s">
        <v>7</v>
      </c>
      <c r="AB5" s="119" t="s">
        <v>258</v>
      </c>
      <c r="AC5" s="119">
        <v>0</v>
      </c>
      <c r="AD5" s="119">
        <v>0</v>
      </c>
      <c r="AE5" s="119">
        <v>0</v>
      </c>
      <c r="AF5" s="119">
        <f t="shared" si="2"/>
        <v>0</v>
      </c>
      <c r="AG5" s="119"/>
      <c r="AH5" s="119" t="s">
        <v>258</v>
      </c>
      <c r="AI5" s="119">
        <v>8</v>
      </c>
      <c r="AJ5" s="119">
        <v>0</v>
      </c>
      <c r="AK5" s="119">
        <v>0</v>
      </c>
      <c r="AL5" s="119">
        <f t="shared" si="3"/>
        <v>8</v>
      </c>
      <c r="AM5" s="68">
        <f t="shared" si="4"/>
        <v>8</v>
      </c>
    </row>
    <row r="6" spans="1:39" x14ac:dyDescent="0.2">
      <c r="A6" s="60" t="s">
        <v>80</v>
      </c>
      <c r="B6" s="61">
        <v>5</v>
      </c>
      <c r="C6" s="243">
        <v>1581.8414923433147</v>
      </c>
      <c r="D6" s="243">
        <f t="shared" si="1"/>
        <v>-794.87382422011353</v>
      </c>
      <c r="E6" s="243">
        <v>798.71457192940966</v>
      </c>
      <c r="F6" s="243">
        <f t="shared" si="0"/>
        <v>2416.2644052368146</v>
      </c>
      <c r="H6" s="68">
        <v>1</v>
      </c>
      <c r="I6" s="279">
        <v>86.5</v>
      </c>
      <c r="J6" s="400">
        <v>0</v>
      </c>
      <c r="K6" s="400">
        <v>0</v>
      </c>
      <c r="L6" s="400">
        <v>0</v>
      </c>
      <c r="M6" s="400">
        <v>0</v>
      </c>
      <c r="N6" s="280">
        <v>139</v>
      </c>
      <c r="O6" s="404">
        <f>I6*AVERAGE($B$12:$G$12)+J6*AVERAGE($B$13:$G$13)+K6*AVERAGE($B$14:$G$14)+L6*AVERAGE($B$15:$G$15)+M6*AVERAGE($B$16:$G$16)+N6*AVERAGE($B$17:$G$17)</f>
        <v>348.02083333333331</v>
      </c>
      <c r="P6" s="254">
        <f>I6*AVERAGE($B$20:$G$20)+J6*AVERAGE($B$21:$G$21)+K6*AVERAGE($B$22:$G$22)+L6*AVERAGE($B$23:$G$23)+M6*AVERAGE($B$24:$G$24)+N6*AVERAGE($B$25:$G$25)</f>
        <v>577462.44909189083</v>
      </c>
      <c r="Q6" s="254">
        <f>I6*AVERAGE($B$28:$G$28)+J6*AVERAGE($B$29:$G$29)+K6*AVERAGE($B$30:$G$30)+L6*AVERAGE($B$31:$G$31)+M6*AVERAGE($B$32:$G$32)+N6*AVERAGE($B$33:$G$33)</f>
        <v>1459560.8885595996</v>
      </c>
      <c r="R6" s="68">
        <v>1</v>
      </c>
      <c r="S6" s="402">
        <v>86.5</v>
      </c>
      <c r="T6" s="403">
        <v>0</v>
      </c>
      <c r="U6" s="403">
        <v>0</v>
      </c>
      <c r="V6" s="403">
        <v>0</v>
      </c>
      <c r="W6" s="403">
        <v>0</v>
      </c>
      <c r="X6" s="403">
        <v>138.5</v>
      </c>
      <c r="Y6" s="254">
        <f t="shared" ref="Y6:Y25" si="5">S6*AVERAGE($B$12:$G$12)+T6*AVERAGE($B$13:$G$13)+U6*AVERAGE($B$14:$G$14)+V6*AVERAGE($B$15:$G$15)+W6*AVERAGE($B$16:$G$16)+X6*AVERAGE($B$17:$G$17)</f>
        <v>346.9375</v>
      </c>
      <c r="Z6" s="254">
        <f>S6*AVERAGE($B$20:$G$20)+T6*AVERAGE($B$21:$G$21)+U6*AVERAGE($B$22:$G$22)+V6*AVERAGE($B$23:$G$23)+W6*AVERAGE($B$24:$G$24)+X6*AVERAGE($B$25:$G$25)</f>
        <v>575394.00716595748</v>
      </c>
      <c r="AA6" s="254">
        <f>S6*AVERAGE($B$28:$G$28)+T6*AVERAGE($B$29:$G$29)+U6*AVERAGE($B$30:$G$30)+V6*AVERAGE($B$31:$G$31)+W6*AVERAGE($B$32:$G$32)+X6*AVERAGE($B$33:$G$33)</f>
        <v>1454337.6801920056</v>
      </c>
      <c r="AB6" s="119" t="s">
        <v>259</v>
      </c>
      <c r="AC6" s="119">
        <v>0</v>
      </c>
      <c r="AD6" s="119">
        <v>0</v>
      </c>
      <c r="AE6" s="119">
        <v>0</v>
      </c>
      <c r="AF6" s="119">
        <f t="shared" si="2"/>
        <v>0</v>
      </c>
      <c r="AG6" s="119"/>
      <c r="AH6" s="119" t="s">
        <v>259</v>
      </c>
      <c r="AI6" s="119">
        <v>0</v>
      </c>
      <c r="AJ6" s="119">
        <v>0</v>
      </c>
      <c r="AK6" s="119">
        <v>30</v>
      </c>
      <c r="AL6" s="119">
        <f t="shared" si="3"/>
        <v>30</v>
      </c>
      <c r="AM6" s="68">
        <f t="shared" si="4"/>
        <v>30</v>
      </c>
    </row>
    <row r="7" spans="1:39" x14ac:dyDescent="0.2">
      <c r="A7" s="65" t="s">
        <v>81</v>
      </c>
      <c r="B7" s="66">
        <v>5</v>
      </c>
      <c r="C7" s="244" t="s">
        <v>270</v>
      </c>
      <c r="D7" s="244">
        <v>16.25</v>
      </c>
      <c r="E7" s="244">
        <v>46</v>
      </c>
      <c r="F7" s="244">
        <v>188</v>
      </c>
      <c r="G7" s="421" t="s">
        <v>271</v>
      </c>
      <c r="H7" s="68">
        <v>2</v>
      </c>
      <c r="I7" s="279">
        <v>86.5</v>
      </c>
      <c r="J7" s="280">
        <v>0</v>
      </c>
      <c r="K7" s="280">
        <v>0</v>
      </c>
      <c r="L7" s="280">
        <v>0</v>
      </c>
      <c r="M7" s="280">
        <v>0</v>
      </c>
      <c r="N7" s="280">
        <v>139</v>
      </c>
      <c r="O7" s="254">
        <f t="shared" ref="O7:O25" si="6">I7*AVERAGE($B$12:$G$12)+J7*AVERAGE($B$13:$G$13)+K7*AVERAGE($B$14:$G$14)+L7*AVERAGE($B$15:$G$15)+M7*AVERAGE($B$16:$G$16)+N7*AVERAGE($B$17:$G$17)</f>
        <v>348.02083333333331</v>
      </c>
      <c r="P7" s="254">
        <f t="shared" ref="P7:P25" si="7">I7*AVERAGE($B$20:$G$20)+J7*AVERAGE($B$21:$G$21)+K7*AVERAGE($B$22:$G$22)+L7*AVERAGE($B$23:$G$23)+M7*AVERAGE($B$24:$G$24)+N7*AVERAGE($B$25:$G$25)</f>
        <v>577462.44909189083</v>
      </c>
      <c r="Q7" s="254">
        <f t="shared" ref="Q7:Q25" si="8">I7*AVERAGE($B$28:$G$28)+J7*AVERAGE($B$29:$G$29)+K7*AVERAGE($B$30:$G$30)+L7*AVERAGE($B$31:$G$31)+M7*AVERAGE($B$32:$G$32)+N7*AVERAGE($B$33:$G$33)</f>
        <v>1459560.8885595996</v>
      </c>
      <c r="R7" s="68">
        <v>2</v>
      </c>
      <c r="S7" s="402">
        <f>S6-($S$6-$S$16)/10</f>
        <v>82.65</v>
      </c>
      <c r="T7" s="403">
        <v>0</v>
      </c>
      <c r="U7" s="403">
        <v>0</v>
      </c>
      <c r="V7" s="403">
        <v>0</v>
      </c>
      <c r="W7" s="403">
        <v>0</v>
      </c>
      <c r="X7" s="403">
        <f>X6-($X$6-$X$16)/10</f>
        <v>128.65</v>
      </c>
      <c r="Y7" s="254">
        <f t="shared" si="5"/>
        <v>323.51041666666669</v>
      </c>
      <c r="Z7" s="254">
        <f t="shared" ref="Z7:Z25" si="9">S7*AVERAGE($B$20:$G$20)+T7*AVERAGE($B$21:$G$21)+U7*AVERAGE($B$22:$G$22)+V7*AVERAGE($B$23:$G$23)+W7*AVERAGE($B$24:$G$24)+X7*AVERAGE($B$25:$G$25)</f>
        <v>534537.29618833796</v>
      </c>
      <c r="AA7" s="254">
        <f t="shared" ref="AA7:AA25" si="10">S7*AVERAGE($B$28:$G$28)+T7*AVERAGE($B$29:$G$29)+U7*AVERAGE($B$30:$G$30)+V7*AVERAGE($B$31:$G$31)+W7*AVERAGE($B$32:$G$32)+X7*AVERAGE($B$33:$G$33)</f>
        <v>1351106.2614183959</v>
      </c>
      <c r="AB7" s="401" t="s">
        <v>253</v>
      </c>
      <c r="AC7" s="401">
        <f t="shared" ref="AC7:AE7" si="11">SUM(AC2:AC6)</f>
        <v>28</v>
      </c>
      <c r="AD7" s="401">
        <f t="shared" si="11"/>
        <v>73</v>
      </c>
      <c r="AE7" s="401">
        <f t="shared" si="11"/>
        <v>124</v>
      </c>
      <c r="AF7" s="401">
        <f>SUM(AF2:AF6)</f>
        <v>225</v>
      </c>
      <c r="AG7" s="401"/>
      <c r="AH7" s="401" t="s">
        <v>253</v>
      </c>
      <c r="AI7" s="401">
        <f t="shared" ref="AI7:AL7" si="12">SUM(AI2:AI6)</f>
        <v>28</v>
      </c>
      <c r="AJ7" s="401">
        <f t="shared" si="12"/>
        <v>75</v>
      </c>
      <c r="AK7" s="401">
        <f t="shared" si="12"/>
        <v>132</v>
      </c>
      <c r="AL7" s="401">
        <f t="shared" si="12"/>
        <v>235</v>
      </c>
    </row>
    <row r="8" spans="1:39" x14ac:dyDescent="0.2">
      <c r="B8" s="436">
        <f>SUM(B2:B7)</f>
        <v>160</v>
      </c>
      <c r="H8" s="68">
        <v>3</v>
      </c>
      <c r="I8" s="279">
        <v>86.5</v>
      </c>
      <c r="J8" s="280">
        <v>0</v>
      </c>
      <c r="K8" s="280">
        <v>0</v>
      </c>
      <c r="L8" s="280">
        <v>0</v>
      </c>
      <c r="M8" s="280">
        <v>0</v>
      </c>
      <c r="N8" s="280">
        <v>139</v>
      </c>
      <c r="O8" s="254">
        <f t="shared" si="6"/>
        <v>348.02083333333331</v>
      </c>
      <c r="P8" s="254">
        <f t="shared" si="7"/>
        <v>577462.44909189083</v>
      </c>
      <c r="Q8" s="254">
        <f t="shared" si="8"/>
        <v>1459560.8885595996</v>
      </c>
      <c r="R8" s="68">
        <v>3</v>
      </c>
      <c r="S8" s="402">
        <f t="shared" ref="S8:S15" si="13">S7-($S$6-$S$16)/10</f>
        <v>78.800000000000011</v>
      </c>
      <c r="T8" s="403">
        <v>0</v>
      </c>
      <c r="U8" s="403">
        <v>0</v>
      </c>
      <c r="V8" s="403">
        <v>0</v>
      </c>
      <c r="W8" s="403">
        <v>0</v>
      </c>
      <c r="X8" s="403">
        <f t="shared" ref="X8:X15" si="14">X7-($X$6-$X$16)/10</f>
        <v>118.80000000000001</v>
      </c>
      <c r="Y8" s="254">
        <f t="shared" si="5"/>
        <v>300.08333333333337</v>
      </c>
      <c r="Z8" s="254">
        <f t="shared" si="9"/>
        <v>493680.58521071839</v>
      </c>
      <c r="AA8" s="254">
        <f t="shared" si="10"/>
        <v>1247874.8426447862</v>
      </c>
    </row>
    <row r="9" spans="1:39" x14ac:dyDescent="0.2">
      <c r="H9" s="68">
        <v>4</v>
      </c>
      <c r="I9" s="279">
        <v>86.5</v>
      </c>
      <c r="J9" s="280">
        <v>0</v>
      </c>
      <c r="K9" s="280">
        <v>0</v>
      </c>
      <c r="L9" s="280">
        <v>0</v>
      </c>
      <c r="M9" s="280">
        <v>0</v>
      </c>
      <c r="N9" s="280">
        <v>139</v>
      </c>
      <c r="O9" s="254">
        <f t="shared" si="6"/>
        <v>348.02083333333331</v>
      </c>
      <c r="P9" s="254">
        <f t="shared" si="7"/>
        <v>577462.44909189083</v>
      </c>
      <c r="Q9" s="254">
        <f t="shared" si="8"/>
        <v>1459560.8885595996</v>
      </c>
      <c r="R9" s="68">
        <v>4</v>
      </c>
      <c r="S9" s="402">
        <f t="shared" si="13"/>
        <v>74.950000000000017</v>
      </c>
      <c r="T9" s="403">
        <v>0</v>
      </c>
      <c r="U9" s="403">
        <v>0</v>
      </c>
      <c r="V9" s="403">
        <v>0</v>
      </c>
      <c r="W9" s="403">
        <v>0</v>
      </c>
      <c r="X9" s="403">
        <f t="shared" si="14"/>
        <v>108.95000000000002</v>
      </c>
      <c r="Y9" s="254">
        <f t="shared" si="5"/>
        <v>276.65625000000006</v>
      </c>
      <c r="Z9" s="254">
        <f t="shared" si="9"/>
        <v>452823.87423309876</v>
      </c>
      <c r="AA9" s="254">
        <f t="shared" si="10"/>
        <v>1144643.4238711766</v>
      </c>
    </row>
    <row r="10" spans="1:39" s="73" customFormat="1" x14ac:dyDescent="0.2">
      <c r="A10" s="245" t="s">
        <v>202</v>
      </c>
      <c r="B10" s="246"/>
      <c r="C10" s="246"/>
      <c r="D10" s="246"/>
      <c r="E10" s="246"/>
      <c r="F10" s="246"/>
      <c r="G10" s="246"/>
      <c r="H10" s="68">
        <v>5</v>
      </c>
      <c r="I10" s="279">
        <v>86.5</v>
      </c>
      <c r="J10" s="280">
        <v>0</v>
      </c>
      <c r="K10" s="280">
        <v>0</v>
      </c>
      <c r="L10" s="280">
        <v>0</v>
      </c>
      <c r="M10" s="280">
        <v>0</v>
      </c>
      <c r="N10" s="280">
        <v>139</v>
      </c>
      <c r="O10" s="254">
        <f t="shared" si="6"/>
        <v>348.02083333333331</v>
      </c>
      <c r="P10" s="254">
        <f t="shared" si="7"/>
        <v>577462.44909189083</v>
      </c>
      <c r="Q10" s="254">
        <f t="shared" si="8"/>
        <v>1459560.8885595996</v>
      </c>
      <c r="R10" s="68">
        <v>5</v>
      </c>
      <c r="S10" s="402">
        <f t="shared" si="13"/>
        <v>71.100000000000023</v>
      </c>
      <c r="T10" s="403">
        <f>T9+($T$19-$T$9)/5</f>
        <v>23.4</v>
      </c>
      <c r="U10" s="403">
        <v>0</v>
      </c>
      <c r="V10" s="403">
        <v>0</v>
      </c>
      <c r="W10" s="403">
        <v>0</v>
      </c>
      <c r="X10" s="403">
        <f t="shared" si="14"/>
        <v>99.100000000000023</v>
      </c>
      <c r="Y10" s="254">
        <f t="shared" si="5"/>
        <v>411.42684711946174</v>
      </c>
      <c r="Z10" s="254">
        <f t="shared" si="9"/>
        <v>536256.64480939473</v>
      </c>
      <c r="AA10" s="254">
        <f t="shared" si="10"/>
        <v>1418266.5948747636</v>
      </c>
    </row>
    <row r="11" spans="1:39" s="49" customFormat="1" ht="51" x14ac:dyDescent="0.2">
      <c r="A11" s="49" t="s">
        <v>8</v>
      </c>
      <c r="B11" s="50" t="s">
        <v>64</v>
      </c>
      <c r="C11" s="50" t="s">
        <v>65</v>
      </c>
      <c r="D11" s="50" t="s">
        <v>66</v>
      </c>
      <c r="E11" s="50" t="s">
        <v>67</v>
      </c>
      <c r="F11" s="50" t="s">
        <v>68</v>
      </c>
      <c r="G11" s="50" t="s">
        <v>69</v>
      </c>
      <c r="H11" s="68">
        <v>6</v>
      </c>
      <c r="I11" s="279">
        <v>86.5</v>
      </c>
      <c r="J11" s="280">
        <v>0</v>
      </c>
      <c r="K11" s="280">
        <v>0</v>
      </c>
      <c r="L11" s="280">
        <v>0</v>
      </c>
      <c r="M11" s="280">
        <v>0</v>
      </c>
      <c r="N11" s="280">
        <v>139</v>
      </c>
      <c r="O11" s="254">
        <f t="shared" si="6"/>
        <v>348.02083333333331</v>
      </c>
      <c r="P11" s="254">
        <f t="shared" si="7"/>
        <v>577462.44909189083</v>
      </c>
      <c r="Q11" s="254">
        <f t="shared" si="8"/>
        <v>1459560.8885595996</v>
      </c>
      <c r="R11" s="68">
        <v>6</v>
      </c>
      <c r="S11" s="402">
        <f t="shared" si="13"/>
        <v>67.250000000000028</v>
      </c>
      <c r="T11" s="403">
        <f t="shared" ref="T11:T14" si="15">T10+($T$19-$T$9)/5</f>
        <v>46.8</v>
      </c>
      <c r="U11" s="403">
        <v>10</v>
      </c>
      <c r="V11" s="403">
        <v>0</v>
      </c>
      <c r="W11" s="403">
        <v>0</v>
      </c>
      <c r="X11" s="403">
        <f t="shared" si="14"/>
        <v>89.250000000000028</v>
      </c>
      <c r="Y11" s="254">
        <f t="shared" si="5"/>
        <v>607.86411090559011</v>
      </c>
      <c r="Z11" s="254">
        <f t="shared" si="9"/>
        <v>672789.24510958605</v>
      </c>
      <c r="AA11" s="254">
        <f t="shared" si="10"/>
        <v>1783906.0331570231</v>
      </c>
      <c r="AB11" s="49" t="s">
        <v>268</v>
      </c>
    </row>
    <row r="12" spans="1:39" s="56" customFormat="1" x14ac:dyDescent="0.2">
      <c r="A12" s="54" t="s">
        <v>262</v>
      </c>
      <c r="B12" s="55">
        <f>0*$AC$12</f>
        <v>0</v>
      </c>
      <c r="C12" s="55">
        <f t="shared" ref="C12:G12" si="16">0*$AC$12</f>
        <v>0</v>
      </c>
      <c r="D12" s="55">
        <f t="shared" si="16"/>
        <v>0</v>
      </c>
      <c r="E12" s="55">
        <f t="shared" si="16"/>
        <v>0</v>
      </c>
      <c r="F12" s="412">
        <f>D$7*$AC$12</f>
        <v>3.25</v>
      </c>
      <c r="G12" s="55">
        <f t="shared" si="16"/>
        <v>0</v>
      </c>
      <c r="H12" s="68">
        <v>7</v>
      </c>
      <c r="I12" s="279">
        <v>86.5</v>
      </c>
      <c r="J12" s="280">
        <v>0</v>
      </c>
      <c r="K12" s="280">
        <v>0</v>
      </c>
      <c r="L12" s="280">
        <v>0</v>
      </c>
      <c r="M12" s="280">
        <v>0</v>
      </c>
      <c r="N12" s="280">
        <v>139</v>
      </c>
      <c r="O12" s="254">
        <f t="shared" si="6"/>
        <v>348.02083333333331</v>
      </c>
      <c r="P12" s="254">
        <f t="shared" si="7"/>
        <v>577462.44909189083</v>
      </c>
      <c r="Q12" s="254">
        <f t="shared" si="8"/>
        <v>1459560.8885595996</v>
      </c>
      <c r="R12" s="68">
        <v>7</v>
      </c>
      <c r="S12" s="402">
        <f t="shared" si="13"/>
        <v>63.400000000000027</v>
      </c>
      <c r="T12" s="403">
        <f t="shared" si="15"/>
        <v>70.199999999999989</v>
      </c>
      <c r="U12" s="403">
        <v>20</v>
      </c>
      <c r="V12" s="403">
        <v>0</v>
      </c>
      <c r="W12" s="403">
        <v>0</v>
      </c>
      <c r="X12" s="403">
        <f t="shared" si="14"/>
        <v>79.400000000000034</v>
      </c>
      <c r="Y12" s="254">
        <f t="shared" si="5"/>
        <v>804.30137469171837</v>
      </c>
      <c r="Z12" s="254">
        <f t="shared" si="9"/>
        <v>809321.84540977748</v>
      </c>
      <c r="AA12" s="254">
        <f t="shared" si="10"/>
        <v>2149545.4714392824</v>
      </c>
      <c r="AB12" s="119" t="s">
        <v>262</v>
      </c>
      <c r="AC12" s="410">
        <v>0.2</v>
      </c>
      <c r="AD12" s="56" t="s">
        <v>269</v>
      </c>
    </row>
    <row r="13" spans="1:39" s="56" customFormat="1" x14ac:dyDescent="0.2">
      <c r="A13" s="56" t="s">
        <v>76</v>
      </c>
      <c r="B13" s="59">
        <v>0</v>
      </c>
      <c r="C13" s="59">
        <v>0</v>
      </c>
      <c r="D13" s="59">
        <v>0</v>
      </c>
      <c r="E13" s="59">
        <f>$D$5</f>
        <v>24.313507808408968</v>
      </c>
      <c r="F13" s="59">
        <f>D$7</f>
        <v>16.25</v>
      </c>
      <c r="G13" s="59">
        <v>0</v>
      </c>
      <c r="H13" s="68">
        <v>8</v>
      </c>
      <c r="I13" s="279">
        <v>86.5</v>
      </c>
      <c r="J13" s="280">
        <v>0</v>
      </c>
      <c r="K13" s="280">
        <v>0</v>
      </c>
      <c r="L13" s="280">
        <v>0</v>
      </c>
      <c r="M13" s="280">
        <v>0</v>
      </c>
      <c r="N13" s="280">
        <v>139</v>
      </c>
      <c r="O13" s="254">
        <f t="shared" si="6"/>
        <v>348.02083333333331</v>
      </c>
      <c r="P13" s="254">
        <f t="shared" si="7"/>
        <v>577462.44909189083</v>
      </c>
      <c r="Q13" s="254">
        <f t="shared" si="8"/>
        <v>1459560.8885595996</v>
      </c>
      <c r="R13" s="68">
        <v>8</v>
      </c>
      <c r="S13" s="402">
        <f t="shared" si="13"/>
        <v>59.550000000000026</v>
      </c>
      <c r="T13" s="403">
        <f t="shared" si="15"/>
        <v>93.6</v>
      </c>
      <c r="U13" s="403">
        <v>30</v>
      </c>
      <c r="V13" s="403">
        <v>0</v>
      </c>
      <c r="W13" s="403">
        <v>0</v>
      </c>
      <c r="X13" s="403">
        <f t="shared" si="14"/>
        <v>69.55000000000004</v>
      </c>
      <c r="Y13" s="254">
        <f t="shared" si="5"/>
        <v>1000.7386384778467</v>
      </c>
      <c r="Z13" s="254">
        <f t="shared" si="9"/>
        <v>945854.44570996892</v>
      </c>
      <c r="AA13" s="254">
        <f t="shared" si="10"/>
        <v>2515184.9097215426</v>
      </c>
      <c r="AB13" s="119" t="s">
        <v>76</v>
      </c>
    </row>
    <row r="14" spans="1:39" s="56" customFormat="1" x14ac:dyDescent="0.2">
      <c r="A14" s="56" t="s">
        <v>259</v>
      </c>
      <c r="B14" s="59">
        <v>0</v>
      </c>
      <c r="C14" s="59">
        <v>0</v>
      </c>
      <c r="D14" s="59">
        <v>0</v>
      </c>
      <c r="E14" s="59">
        <v>24</v>
      </c>
      <c r="F14" s="59">
        <f>D$7*$AC$14</f>
        <v>13</v>
      </c>
      <c r="G14" s="59">
        <v>0</v>
      </c>
      <c r="H14" s="68">
        <v>9</v>
      </c>
      <c r="I14" s="279">
        <v>86.5</v>
      </c>
      <c r="J14" s="280">
        <v>0</v>
      </c>
      <c r="K14" s="280">
        <v>0</v>
      </c>
      <c r="L14" s="280">
        <v>0</v>
      </c>
      <c r="M14" s="280">
        <v>0</v>
      </c>
      <c r="N14" s="280">
        <v>139</v>
      </c>
      <c r="O14" s="254">
        <f t="shared" si="6"/>
        <v>348.02083333333331</v>
      </c>
      <c r="P14" s="254">
        <f t="shared" si="7"/>
        <v>577462.44909189083</v>
      </c>
      <c r="Q14" s="254">
        <f t="shared" si="8"/>
        <v>1459560.8885595996</v>
      </c>
      <c r="R14" s="68">
        <v>9</v>
      </c>
      <c r="S14" s="402">
        <f t="shared" si="13"/>
        <v>55.700000000000024</v>
      </c>
      <c r="T14" s="403">
        <f t="shared" si="15"/>
        <v>117</v>
      </c>
      <c r="U14" s="403">
        <v>30</v>
      </c>
      <c r="V14" s="403">
        <v>0</v>
      </c>
      <c r="W14" s="403">
        <v>0</v>
      </c>
      <c r="X14" s="403">
        <f t="shared" si="14"/>
        <v>59.700000000000038</v>
      </c>
      <c r="Y14" s="254">
        <f t="shared" si="5"/>
        <v>1135.5092355973084</v>
      </c>
      <c r="Z14" s="254">
        <f t="shared" si="9"/>
        <v>1029287.2162862648</v>
      </c>
      <c r="AA14" s="254">
        <f t="shared" si="10"/>
        <v>2788808.0807251297</v>
      </c>
      <c r="AB14" s="119" t="s">
        <v>259</v>
      </c>
      <c r="AC14" s="410">
        <v>0.8</v>
      </c>
      <c r="AD14" s="56" t="s">
        <v>269</v>
      </c>
    </row>
    <row r="15" spans="1:39" s="56" customFormat="1" x14ac:dyDescent="0.2">
      <c r="A15" s="62" t="s">
        <v>264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68">
        <v>10</v>
      </c>
      <c r="I15" s="279">
        <v>86.5</v>
      </c>
      <c r="J15" s="280">
        <v>0</v>
      </c>
      <c r="K15" s="280">
        <v>0</v>
      </c>
      <c r="L15" s="280">
        <v>0</v>
      </c>
      <c r="M15" s="280">
        <v>0</v>
      </c>
      <c r="N15" s="280">
        <v>139</v>
      </c>
      <c r="O15" s="254">
        <f t="shared" si="6"/>
        <v>348.02083333333331</v>
      </c>
      <c r="P15" s="254">
        <f t="shared" si="7"/>
        <v>577462.44909189083</v>
      </c>
      <c r="Q15" s="254">
        <f t="shared" si="8"/>
        <v>1459560.8885595996</v>
      </c>
      <c r="R15" s="68">
        <v>10</v>
      </c>
      <c r="S15" s="402">
        <f t="shared" si="13"/>
        <v>51.850000000000023</v>
      </c>
      <c r="T15" s="403">
        <v>117</v>
      </c>
      <c r="U15" s="403">
        <v>30</v>
      </c>
      <c r="V15" s="403">
        <v>0</v>
      </c>
      <c r="W15" s="403">
        <v>0</v>
      </c>
      <c r="X15" s="403">
        <f t="shared" si="14"/>
        <v>49.850000000000037</v>
      </c>
      <c r="Y15" s="254">
        <f t="shared" si="5"/>
        <v>1112.0821522639751</v>
      </c>
      <c r="Z15" s="254">
        <f t="shared" si="9"/>
        <v>988430.50530864531</v>
      </c>
      <c r="AA15" s="254">
        <f t="shared" si="10"/>
        <v>2685576.66195152</v>
      </c>
      <c r="AB15" s="119" t="s">
        <v>261</v>
      </c>
      <c r="AC15" s="410">
        <v>0.8</v>
      </c>
      <c r="AD15" s="56" t="s">
        <v>269</v>
      </c>
    </row>
    <row r="16" spans="1:39" s="56" customFormat="1" x14ac:dyDescent="0.2">
      <c r="A16" s="62" t="s">
        <v>265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8">
        <v>11</v>
      </c>
      <c r="I16" s="279">
        <v>86.5</v>
      </c>
      <c r="J16" s="280">
        <v>0</v>
      </c>
      <c r="K16" s="280">
        <v>0</v>
      </c>
      <c r="L16" s="280">
        <v>0</v>
      </c>
      <c r="M16" s="280">
        <v>0</v>
      </c>
      <c r="N16" s="280">
        <v>139</v>
      </c>
      <c r="O16" s="254">
        <f t="shared" si="6"/>
        <v>348.02083333333331</v>
      </c>
      <c r="P16" s="254">
        <f t="shared" si="7"/>
        <v>577462.44909189083</v>
      </c>
      <c r="Q16" s="254">
        <f t="shared" si="8"/>
        <v>1459560.8885595996</v>
      </c>
      <c r="R16" s="68">
        <v>11</v>
      </c>
      <c r="S16" s="402">
        <v>48</v>
      </c>
      <c r="T16" s="403">
        <v>117</v>
      </c>
      <c r="U16" s="403">
        <v>30</v>
      </c>
      <c r="V16" s="403">
        <v>0</v>
      </c>
      <c r="W16" s="403">
        <v>0</v>
      </c>
      <c r="X16" s="403">
        <v>40</v>
      </c>
      <c r="Y16" s="254">
        <f t="shared" si="5"/>
        <v>1088.6550689306416</v>
      </c>
      <c r="Z16" s="254">
        <f t="shared" si="9"/>
        <v>947573.79433102557</v>
      </c>
      <c r="AA16" s="254">
        <f t="shared" si="10"/>
        <v>2582345.2431779094</v>
      </c>
      <c r="AB16" s="119"/>
    </row>
    <row r="17" spans="1:31" s="56" customFormat="1" x14ac:dyDescent="0.2">
      <c r="A17" s="63" t="s">
        <v>261</v>
      </c>
      <c r="B17" s="64">
        <v>0</v>
      </c>
      <c r="C17" s="64">
        <v>0</v>
      </c>
      <c r="D17" s="64">
        <v>0</v>
      </c>
      <c r="E17" s="64">
        <v>0</v>
      </c>
      <c r="F17" s="64">
        <f>D$7*$AC$15</f>
        <v>13</v>
      </c>
      <c r="G17" s="64">
        <v>0</v>
      </c>
      <c r="H17" s="68">
        <v>12</v>
      </c>
      <c r="I17" s="279">
        <v>86.5</v>
      </c>
      <c r="J17" s="280">
        <v>0</v>
      </c>
      <c r="K17" s="280">
        <v>0</v>
      </c>
      <c r="L17" s="280">
        <v>0</v>
      </c>
      <c r="M17" s="280">
        <v>0</v>
      </c>
      <c r="N17" s="280">
        <v>139</v>
      </c>
      <c r="O17" s="254">
        <f t="shared" si="6"/>
        <v>348.02083333333331</v>
      </c>
      <c r="P17" s="254">
        <f t="shared" si="7"/>
        <v>577462.44909189083</v>
      </c>
      <c r="Q17" s="254">
        <f t="shared" si="8"/>
        <v>1459560.8885595996</v>
      </c>
      <c r="R17" s="68">
        <v>12</v>
      </c>
      <c r="S17" s="402">
        <v>48</v>
      </c>
      <c r="T17" s="403">
        <v>117</v>
      </c>
      <c r="U17" s="403">
        <v>30</v>
      </c>
      <c r="V17" s="403">
        <v>0</v>
      </c>
      <c r="W17" s="403">
        <v>0</v>
      </c>
      <c r="X17" s="403">
        <v>40</v>
      </c>
      <c r="Y17" s="254">
        <f t="shared" si="5"/>
        <v>1088.6550689306416</v>
      </c>
      <c r="Z17" s="254">
        <f t="shared" si="9"/>
        <v>947573.79433102557</v>
      </c>
      <c r="AA17" s="254">
        <f t="shared" si="10"/>
        <v>2582345.2431779094</v>
      </c>
    </row>
    <row r="18" spans="1:31" ht="13.5" thickBot="1" x14ac:dyDescent="0.25">
      <c r="B18" s="69"/>
      <c r="H18" s="68">
        <v>13</v>
      </c>
      <c r="I18" s="279">
        <v>86.5</v>
      </c>
      <c r="J18" s="280">
        <v>0</v>
      </c>
      <c r="K18" s="280">
        <v>0</v>
      </c>
      <c r="L18" s="280">
        <v>0</v>
      </c>
      <c r="M18" s="280">
        <v>0</v>
      </c>
      <c r="N18" s="280">
        <v>139</v>
      </c>
      <c r="O18" s="254">
        <f t="shared" si="6"/>
        <v>348.02083333333331</v>
      </c>
      <c r="P18" s="254">
        <f t="shared" si="7"/>
        <v>577462.44909189083</v>
      </c>
      <c r="Q18" s="254">
        <f t="shared" si="8"/>
        <v>1459560.8885595996</v>
      </c>
      <c r="R18" s="68">
        <v>13</v>
      </c>
      <c r="S18" s="402">
        <v>48</v>
      </c>
      <c r="T18" s="403">
        <v>117</v>
      </c>
      <c r="U18" s="403">
        <v>30</v>
      </c>
      <c r="V18" s="403">
        <v>0</v>
      </c>
      <c r="W18" s="403">
        <v>0</v>
      </c>
      <c r="X18" s="403">
        <v>40</v>
      </c>
      <c r="Y18" s="254">
        <f t="shared" si="5"/>
        <v>1088.6550689306416</v>
      </c>
      <c r="Z18" s="254">
        <f t="shared" si="9"/>
        <v>947573.79433102557</v>
      </c>
      <c r="AA18" s="254">
        <f t="shared" si="10"/>
        <v>2582345.2431779094</v>
      </c>
    </row>
    <row r="19" spans="1:31" s="49" customFormat="1" ht="51" x14ac:dyDescent="0.2">
      <c r="A19" s="70" t="s">
        <v>6</v>
      </c>
      <c r="B19" s="71" t="s">
        <v>64</v>
      </c>
      <c r="C19" s="71" t="s">
        <v>65</v>
      </c>
      <c r="D19" s="71" t="s">
        <v>66</v>
      </c>
      <c r="E19" s="71" t="s">
        <v>67</v>
      </c>
      <c r="F19" s="71" t="s">
        <v>68</v>
      </c>
      <c r="G19" s="71" t="s">
        <v>69</v>
      </c>
      <c r="H19" s="68">
        <v>14</v>
      </c>
      <c r="I19" s="279">
        <v>86.5</v>
      </c>
      <c r="J19" s="280">
        <v>0</v>
      </c>
      <c r="K19" s="280">
        <v>0</v>
      </c>
      <c r="L19" s="280">
        <v>0</v>
      </c>
      <c r="M19" s="280">
        <v>0</v>
      </c>
      <c r="N19" s="280">
        <v>139</v>
      </c>
      <c r="O19" s="254">
        <f t="shared" si="6"/>
        <v>348.02083333333331</v>
      </c>
      <c r="P19" s="254">
        <f t="shared" si="7"/>
        <v>577462.44909189083</v>
      </c>
      <c r="Q19" s="254">
        <f t="shared" si="8"/>
        <v>1459560.8885595996</v>
      </c>
      <c r="R19" s="68">
        <v>14</v>
      </c>
      <c r="S19" s="402">
        <v>48</v>
      </c>
      <c r="T19" s="403">
        <v>117</v>
      </c>
      <c r="U19" s="403">
        <v>30</v>
      </c>
      <c r="V19" s="403">
        <v>0</v>
      </c>
      <c r="W19" s="403">
        <v>0</v>
      </c>
      <c r="X19" s="403">
        <v>40</v>
      </c>
      <c r="Y19" s="254">
        <f t="shared" si="5"/>
        <v>1088.6550689306416</v>
      </c>
      <c r="Z19" s="254">
        <f t="shared" si="9"/>
        <v>947573.79433102557</v>
      </c>
      <c r="AA19" s="254">
        <f t="shared" si="10"/>
        <v>2582345.2431779094</v>
      </c>
      <c r="AB19" s="422" t="s">
        <v>266</v>
      </c>
      <c r="AC19" s="423"/>
      <c r="AD19" s="423"/>
      <c r="AE19" s="424"/>
    </row>
    <row r="20" spans="1:31" x14ac:dyDescent="0.2">
      <c r="A20" s="54" t="s">
        <v>262</v>
      </c>
      <c r="B20" s="416">
        <f t="shared" ref="B20:E20" si="17">0*$AC$12</f>
        <v>0</v>
      </c>
      <c r="C20" s="416">
        <f t="shared" si="17"/>
        <v>0</v>
      </c>
      <c r="D20" s="411">
        <f t="shared" si="17"/>
        <v>0</v>
      </c>
      <c r="E20" s="416">
        <f t="shared" si="17"/>
        <v>0</v>
      </c>
      <c r="F20" s="411">
        <f>E$7*$AC$12</f>
        <v>9.2000000000000011</v>
      </c>
      <c r="G20" s="411">
        <f>E6*AC12</f>
        <v>159.74291438588193</v>
      </c>
      <c r="H20" s="68">
        <v>15</v>
      </c>
      <c r="I20" s="279">
        <v>86.5</v>
      </c>
      <c r="J20" s="280">
        <v>0</v>
      </c>
      <c r="K20" s="280">
        <v>0</v>
      </c>
      <c r="L20" s="280">
        <v>0</v>
      </c>
      <c r="M20" s="280">
        <v>0</v>
      </c>
      <c r="N20" s="280">
        <v>139</v>
      </c>
      <c r="O20" s="254">
        <f t="shared" si="6"/>
        <v>348.02083333333331</v>
      </c>
      <c r="P20" s="254">
        <f t="shared" si="7"/>
        <v>577462.44909189083</v>
      </c>
      <c r="Q20" s="254">
        <f t="shared" si="8"/>
        <v>1459560.8885595996</v>
      </c>
      <c r="R20" s="68">
        <v>15</v>
      </c>
      <c r="S20" s="402">
        <v>48</v>
      </c>
      <c r="T20" s="403">
        <v>117</v>
      </c>
      <c r="U20" s="403">
        <v>30</v>
      </c>
      <c r="V20" s="403">
        <v>0</v>
      </c>
      <c r="W20" s="403">
        <v>0</v>
      </c>
      <c r="X20" s="403">
        <v>40</v>
      </c>
      <c r="Y20" s="254">
        <f t="shared" si="5"/>
        <v>1088.6550689306416</v>
      </c>
      <c r="Z20" s="254">
        <f t="shared" si="9"/>
        <v>947573.79433102557</v>
      </c>
      <c r="AA20" s="254">
        <f t="shared" si="10"/>
        <v>2582345.2431779094</v>
      </c>
      <c r="AB20" s="425" t="s">
        <v>18</v>
      </c>
      <c r="AC20" s="251">
        <f>Y2-O2</f>
        <v>9770.3898277969092</v>
      </c>
      <c r="AD20" s="251">
        <f t="shared" ref="AD20:AE20" si="18">Z2-P2</f>
        <v>4729772.4823420197</v>
      </c>
      <c r="AE20" s="426">
        <f t="shared" si="18"/>
        <v>14459606.351614043</v>
      </c>
    </row>
    <row r="21" spans="1:31" ht="13.5" thickBot="1" x14ac:dyDescent="0.25">
      <c r="A21" s="72" t="s">
        <v>76</v>
      </c>
      <c r="B21" s="417">
        <f>E2</f>
        <v>6180.9251164175121</v>
      </c>
      <c r="C21" s="413">
        <f>E3</f>
        <v>10056.175776847764</v>
      </c>
      <c r="D21" s="413">
        <f>E4</f>
        <v>14743.527995736225</v>
      </c>
      <c r="E21" s="413">
        <f>E5</f>
        <v>43.754373406385184</v>
      </c>
      <c r="F21" s="413">
        <f>E$7</f>
        <v>46</v>
      </c>
      <c r="G21" s="413">
        <f>E6</f>
        <v>798.71457192940966</v>
      </c>
      <c r="H21" s="68">
        <v>16</v>
      </c>
      <c r="I21" s="279">
        <v>86.5</v>
      </c>
      <c r="J21" s="280">
        <v>0</v>
      </c>
      <c r="K21" s="280">
        <v>0</v>
      </c>
      <c r="L21" s="280">
        <v>0</v>
      </c>
      <c r="M21" s="280">
        <v>0</v>
      </c>
      <c r="N21" s="280">
        <v>139</v>
      </c>
      <c r="O21" s="254">
        <f t="shared" si="6"/>
        <v>348.02083333333331</v>
      </c>
      <c r="P21" s="254">
        <f t="shared" si="7"/>
        <v>577462.44909189083</v>
      </c>
      <c r="Q21" s="254">
        <f t="shared" si="8"/>
        <v>1459560.8885595996</v>
      </c>
      <c r="R21" s="68">
        <v>16</v>
      </c>
      <c r="S21" s="402">
        <v>48</v>
      </c>
      <c r="T21" s="403">
        <v>117</v>
      </c>
      <c r="U21" s="403">
        <v>30</v>
      </c>
      <c r="V21" s="403">
        <v>0</v>
      </c>
      <c r="W21" s="403">
        <v>0</v>
      </c>
      <c r="X21" s="403">
        <v>40</v>
      </c>
      <c r="Y21" s="254">
        <f t="shared" si="5"/>
        <v>1088.6550689306416</v>
      </c>
      <c r="Z21" s="254">
        <f t="shared" si="9"/>
        <v>947573.79433102557</v>
      </c>
      <c r="AA21" s="254">
        <f t="shared" si="10"/>
        <v>2582345.2431779094</v>
      </c>
      <c r="AB21" s="427" t="s">
        <v>54</v>
      </c>
      <c r="AC21" s="428">
        <f>($M$2*AC20)/(1-(1+$M$2)^-Project_Assumptions!$C$6)</f>
        <v>522.94213011224315</v>
      </c>
      <c r="AD21" s="428">
        <f>($M$2*AD20)/(1-(1+$M$2)^-Project_Assumptions!$C$6)</f>
        <v>253152.36551005926</v>
      </c>
      <c r="AE21" s="429">
        <f>($M$2*AE20)/(1-(1+$M$2)^-Project_Assumptions!$C$6)</f>
        <v>773923.81259802741</v>
      </c>
    </row>
    <row r="22" spans="1:31" x14ac:dyDescent="0.2">
      <c r="A22" s="72" t="s">
        <v>259</v>
      </c>
      <c r="B22" s="417">
        <f>E2</f>
        <v>6180.9251164175121</v>
      </c>
      <c r="C22" s="417">
        <f>E3</f>
        <v>10056.175776847764</v>
      </c>
      <c r="D22" s="417">
        <f>E4</f>
        <v>14743.527995736225</v>
      </c>
      <c r="E22" s="413">
        <f>E5</f>
        <v>43.754373406385184</v>
      </c>
      <c r="F22" s="417">
        <f>E$7*$AC$14</f>
        <v>36.800000000000004</v>
      </c>
      <c r="G22" s="413">
        <f>E6</f>
        <v>798.71457192940966</v>
      </c>
      <c r="H22" s="68">
        <v>17</v>
      </c>
      <c r="I22" s="279">
        <v>86.5</v>
      </c>
      <c r="J22" s="280">
        <v>0</v>
      </c>
      <c r="K22" s="280">
        <v>0</v>
      </c>
      <c r="L22" s="280">
        <v>0</v>
      </c>
      <c r="M22" s="280">
        <v>0</v>
      </c>
      <c r="N22" s="280">
        <v>139</v>
      </c>
      <c r="O22" s="254">
        <f t="shared" si="6"/>
        <v>348.02083333333331</v>
      </c>
      <c r="P22" s="254">
        <f t="shared" si="7"/>
        <v>577462.44909189083</v>
      </c>
      <c r="Q22" s="254">
        <f t="shared" si="8"/>
        <v>1459560.8885595996</v>
      </c>
      <c r="R22" s="68">
        <v>17</v>
      </c>
      <c r="S22" s="402">
        <v>48</v>
      </c>
      <c r="T22" s="403">
        <v>117</v>
      </c>
      <c r="U22" s="403">
        <v>30</v>
      </c>
      <c r="V22" s="403">
        <v>0</v>
      </c>
      <c r="W22" s="403">
        <v>0</v>
      </c>
      <c r="X22" s="403">
        <v>40</v>
      </c>
      <c r="Y22" s="254">
        <f t="shared" si="5"/>
        <v>1088.6550689306416</v>
      </c>
      <c r="Z22" s="254">
        <f t="shared" si="9"/>
        <v>947573.79433102557</v>
      </c>
      <c r="AA22" s="254">
        <f t="shared" si="10"/>
        <v>2582345.2431779094</v>
      </c>
    </row>
    <row r="23" spans="1:31" x14ac:dyDescent="0.2">
      <c r="A23" s="62" t="s">
        <v>264</v>
      </c>
      <c r="B23" s="417">
        <v>0</v>
      </c>
      <c r="C23" s="417">
        <v>0</v>
      </c>
      <c r="D23" s="417">
        <v>0</v>
      </c>
      <c r="E23" s="413">
        <v>0</v>
      </c>
      <c r="F23" s="417">
        <v>0</v>
      </c>
      <c r="G23" s="413">
        <f>E6</f>
        <v>798.71457192940966</v>
      </c>
      <c r="H23" s="68">
        <v>18</v>
      </c>
      <c r="I23" s="279">
        <v>86.5</v>
      </c>
      <c r="J23" s="280">
        <v>0</v>
      </c>
      <c r="K23" s="280">
        <v>0</v>
      </c>
      <c r="L23" s="280">
        <v>0</v>
      </c>
      <c r="M23" s="280">
        <v>0</v>
      </c>
      <c r="N23" s="280">
        <v>139</v>
      </c>
      <c r="O23" s="254">
        <f t="shared" si="6"/>
        <v>348.02083333333331</v>
      </c>
      <c r="P23" s="254">
        <f t="shared" si="7"/>
        <v>577462.44909189083</v>
      </c>
      <c r="Q23" s="254">
        <f t="shared" si="8"/>
        <v>1459560.8885595996</v>
      </c>
      <c r="R23" s="68">
        <v>18</v>
      </c>
      <c r="S23" s="402">
        <v>48</v>
      </c>
      <c r="T23" s="403">
        <v>117</v>
      </c>
      <c r="U23" s="403">
        <v>30</v>
      </c>
      <c r="V23" s="403">
        <v>0</v>
      </c>
      <c r="W23" s="403">
        <v>0</v>
      </c>
      <c r="X23" s="403">
        <v>40</v>
      </c>
      <c r="Y23" s="254">
        <f t="shared" si="5"/>
        <v>1088.6550689306416</v>
      </c>
      <c r="Z23" s="254">
        <f t="shared" si="9"/>
        <v>947573.79433102557</v>
      </c>
      <c r="AA23" s="254">
        <f t="shared" si="10"/>
        <v>2582345.2431779094</v>
      </c>
    </row>
    <row r="24" spans="1:31" x14ac:dyDescent="0.2">
      <c r="A24" s="62" t="s">
        <v>265</v>
      </c>
      <c r="B24" s="417">
        <v>0</v>
      </c>
      <c r="C24" s="417">
        <v>0</v>
      </c>
      <c r="D24" s="417">
        <v>0</v>
      </c>
      <c r="E24" s="413">
        <v>0</v>
      </c>
      <c r="F24" s="417">
        <v>0</v>
      </c>
      <c r="G24" s="417">
        <v>0</v>
      </c>
      <c r="H24" s="68">
        <v>19</v>
      </c>
      <c r="I24" s="279">
        <v>86.5</v>
      </c>
      <c r="J24" s="280">
        <v>0</v>
      </c>
      <c r="K24" s="280">
        <v>0</v>
      </c>
      <c r="L24" s="280">
        <v>0</v>
      </c>
      <c r="M24" s="280">
        <v>0</v>
      </c>
      <c r="N24" s="280">
        <v>139</v>
      </c>
      <c r="O24" s="254">
        <f t="shared" si="6"/>
        <v>348.02083333333331</v>
      </c>
      <c r="P24" s="254">
        <f t="shared" si="7"/>
        <v>577462.44909189083</v>
      </c>
      <c r="Q24" s="254">
        <f t="shared" si="8"/>
        <v>1459560.8885595996</v>
      </c>
      <c r="R24" s="68">
        <v>19</v>
      </c>
      <c r="S24" s="402">
        <v>48</v>
      </c>
      <c r="T24" s="403">
        <v>117</v>
      </c>
      <c r="U24" s="403">
        <v>30</v>
      </c>
      <c r="V24" s="403">
        <v>0</v>
      </c>
      <c r="W24" s="403">
        <v>0</v>
      </c>
      <c r="X24" s="403">
        <v>40</v>
      </c>
      <c r="Y24" s="254">
        <f t="shared" si="5"/>
        <v>1088.6550689306416</v>
      </c>
      <c r="Z24" s="254">
        <f t="shared" si="9"/>
        <v>947573.79433102557</v>
      </c>
      <c r="AA24" s="254">
        <f t="shared" si="10"/>
        <v>2582345.2431779094</v>
      </c>
    </row>
    <row r="25" spans="1:31" x14ac:dyDescent="0.2">
      <c r="A25" s="63" t="s">
        <v>261</v>
      </c>
      <c r="B25" s="418">
        <f>E2*AC15</f>
        <v>4944.7400931340098</v>
      </c>
      <c r="C25" s="419">
        <f>E3*AC15</f>
        <v>8044.9406214782111</v>
      </c>
      <c r="D25" s="419">
        <f>E4*AC15</f>
        <v>11794.822396588981</v>
      </c>
      <c r="E25" s="418">
        <v>0</v>
      </c>
      <c r="F25" s="418">
        <f>E$7*$AC$15</f>
        <v>36.800000000000004</v>
      </c>
      <c r="G25" s="418">
        <v>0</v>
      </c>
      <c r="H25" s="68">
        <v>20</v>
      </c>
      <c r="I25" s="279">
        <v>86.5</v>
      </c>
      <c r="J25" s="280">
        <v>0</v>
      </c>
      <c r="K25" s="280">
        <v>0</v>
      </c>
      <c r="L25" s="280">
        <v>0</v>
      </c>
      <c r="M25" s="280">
        <v>0</v>
      </c>
      <c r="N25" s="280">
        <v>139</v>
      </c>
      <c r="O25" s="254">
        <f t="shared" si="6"/>
        <v>348.02083333333331</v>
      </c>
      <c r="P25" s="254">
        <f t="shared" si="7"/>
        <v>577462.44909189083</v>
      </c>
      <c r="Q25" s="254">
        <f t="shared" si="8"/>
        <v>1459560.8885595996</v>
      </c>
      <c r="R25" s="68">
        <v>20</v>
      </c>
      <c r="S25" s="402">
        <v>48</v>
      </c>
      <c r="T25" s="403">
        <v>117</v>
      </c>
      <c r="U25" s="403">
        <v>30</v>
      </c>
      <c r="V25" s="403">
        <v>0</v>
      </c>
      <c r="W25" s="403">
        <v>0</v>
      </c>
      <c r="X25" s="403">
        <v>40</v>
      </c>
      <c r="Y25" s="254">
        <f t="shared" si="5"/>
        <v>1088.6550689306416</v>
      </c>
      <c r="Z25" s="254">
        <f t="shared" si="9"/>
        <v>947573.79433102557</v>
      </c>
      <c r="AA25" s="254">
        <f t="shared" si="10"/>
        <v>2582345.2431779094</v>
      </c>
    </row>
    <row r="26" spans="1:31" x14ac:dyDescent="0.2">
      <c r="B26" s="69"/>
      <c r="H26" s="68">
        <v>21</v>
      </c>
      <c r="I26" s="279">
        <v>86.5</v>
      </c>
      <c r="J26" s="280">
        <v>0</v>
      </c>
      <c r="K26" s="280">
        <v>0</v>
      </c>
      <c r="L26" s="280">
        <v>0</v>
      </c>
      <c r="M26" s="280">
        <v>0</v>
      </c>
      <c r="N26" s="280">
        <v>139</v>
      </c>
      <c r="O26" s="254">
        <f t="shared" ref="O26:O55" si="19">I26*AVERAGE($B$12:$G$12)+J26*AVERAGE($B$13:$G$13)+K26*AVERAGE($B$14:$G$14)+L26*AVERAGE($B$15:$G$15)+M26*AVERAGE($B$16:$G$16)+N26*AVERAGE($B$17:$G$17)</f>
        <v>348.02083333333331</v>
      </c>
      <c r="P26" s="254">
        <f t="shared" ref="P26:P55" si="20">I26*AVERAGE($B$20:$G$20)+J26*AVERAGE($B$21:$G$21)+K26*AVERAGE($B$22:$G$22)+L26*AVERAGE($B$23:$G$23)+M26*AVERAGE($B$24:$G$24)+N26*AVERAGE($B$25:$G$25)</f>
        <v>577462.44909189083</v>
      </c>
      <c r="Q26" s="254">
        <f t="shared" ref="Q26:Q55" si="21">I26*AVERAGE($B$28:$G$28)+J26*AVERAGE($B$29:$G$29)+K26*AVERAGE($B$30:$G$30)+L26*AVERAGE($B$31:$G$31)+M26*AVERAGE($B$32:$G$32)+N26*AVERAGE($B$33:$G$33)</f>
        <v>1459560.8885595996</v>
      </c>
      <c r="R26" s="68">
        <v>21</v>
      </c>
      <c r="S26" s="279">
        <v>48</v>
      </c>
      <c r="T26" s="280">
        <v>117</v>
      </c>
      <c r="U26" s="280">
        <v>30</v>
      </c>
      <c r="V26" s="280">
        <v>0</v>
      </c>
      <c r="W26" s="280">
        <v>0</v>
      </c>
      <c r="X26" s="280">
        <v>40</v>
      </c>
      <c r="Y26" s="254">
        <f t="shared" ref="Y26:Y55" si="22">S26*AVERAGE($B$12:$G$12)+T26*AVERAGE($B$13:$G$13)+U26*AVERAGE($B$14:$G$14)+V26*AVERAGE($B$15:$G$15)+W26*AVERAGE($B$16:$G$16)+X26*AVERAGE($B$17:$G$17)</f>
        <v>1088.6550689306416</v>
      </c>
      <c r="Z26" s="254">
        <f t="shared" ref="Z26:Z55" si="23">S26*AVERAGE($B$20:$G$20)+T26*AVERAGE($B$21:$G$21)+U26*AVERAGE($B$22:$G$22)+V26*AVERAGE($B$23:$G$23)+W26*AVERAGE($B$24:$G$24)+X26*AVERAGE($B$25:$G$25)</f>
        <v>947573.79433102557</v>
      </c>
      <c r="AA26" s="254">
        <f t="shared" ref="AA26:AA55" si="24">S26*AVERAGE($B$28:$G$28)+T26*AVERAGE($B$29:$G$29)+U26*AVERAGE($B$30:$G$30)+V26*AVERAGE($B$31:$G$31)+W26*AVERAGE($B$32:$G$32)+X26*AVERAGE($B$33:$G$33)</f>
        <v>2582345.2431779094</v>
      </c>
    </row>
    <row r="27" spans="1:31" s="49" customFormat="1" ht="51" x14ac:dyDescent="0.2">
      <c r="A27" s="49" t="s">
        <v>7</v>
      </c>
      <c r="B27" s="50" t="s">
        <v>64</v>
      </c>
      <c r="C27" s="50" t="s">
        <v>65</v>
      </c>
      <c r="D27" s="50" t="s">
        <v>66</v>
      </c>
      <c r="E27" s="50" t="s">
        <v>67</v>
      </c>
      <c r="F27" s="50" t="s">
        <v>68</v>
      </c>
      <c r="G27" s="50" t="s">
        <v>69</v>
      </c>
      <c r="H27" s="68">
        <v>22</v>
      </c>
      <c r="I27" s="279">
        <v>86.5</v>
      </c>
      <c r="J27" s="280">
        <v>0</v>
      </c>
      <c r="K27" s="280">
        <v>0</v>
      </c>
      <c r="L27" s="280">
        <v>0</v>
      </c>
      <c r="M27" s="280">
        <v>0</v>
      </c>
      <c r="N27" s="280">
        <v>139</v>
      </c>
      <c r="O27" s="254">
        <f t="shared" si="19"/>
        <v>348.02083333333331</v>
      </c>
      <c r="P27" s="254">
        <f t="shared" si="20"/>
        <v>577462.44909189083</v>
      </c>
      <c r="Q27" s="254">
        <f t="shared" si="21"/>
        <v>1459560.8885595996</v>
      </c>
      <c r="R27" s="68">
        <v>22</v>
      </c>
      <c r="S27" s="279">
        <v>48</v>
      </c>
      <c r="T27" s="280">
        <v>117</v>
      </c>
      <c r="U27" s="280">
        <v>30</v>
      </c>
      <c r="V27" s="280">
        <v>0</v>
      </c>
      <c r="W27" s="280">
        <v>0</v>
      </c>
      <c r="X27" s="280">
        <v>40</v>
      </c>
      <c r="Y27" s="254">
        <f t="shared" si="22"/>
        <v>1088.6550689306416</v>
      </c>
      <c r="Z27" s="254">
        <f t="shared" si="23"/>
        <v>947573.79433102557</v>
      </c>
      <c r="AA27" s="254">
        <f t="shared" si="24"/>
        <v>2582345.2431779094</v>
      </c>
    </row>
    <row r="28" spans="1:31" x14ac:dyDescent="0.2">
      <c r="A28" s="54" t="s">
        <v>262</v>
      </c>
      <c r="B28" s="411">
        <v>0</v>
      </c>
      <c r="C28" s="412">
        <v>0</v>
      </c>
      <c r="D28" s="412">
        <v>0</v>
      </c>
      <c r="E28" s="412">
        <v>0</v>
      </c>
      <c r="F28" s="412">
        <f>F$7*$AC$12</f>
        <v>37.6</v>
      </c>
      <c r="G28" s="412">
        <f>F6*AC12</f>
        <v>483.25288104736296</v>
      </c>
      <c r="H28" s="68">
        <v>23</v>
      </c>
      <c r="I28" s="279">
        <v>86.5</v>
      </c>
      <c r="J28" s="280">
        <v>0</v>
      </c>
      <c r="K28" s="280">
        <v>0</v>
      </c>
      <c r="L28" s="280">
        <v>0</v>
      </c>
      <c r="M28" s="280">
        <v>0</v>
      </c>
      <c r="N28" s="280">
        <v>139</v>
      </c>
      <c r="O28" s="254">
        <f t="shared" si="19"/>
        <v>348.02083333333331</v>
      </c>
      <c r="P28" s="254">
        <f t="shared" si="20"/>
        <v>577462.44909189083</v>
      </c>
      <c r="Q28" s="254">
        <f t="shared" si="21"/>
        <v>1459560.8885595996</v>
      </c>
      <c r="R28" s="68">
        <v>23</v>
      </c>
      <c r="S28" s="279">
        <v>48</v>
      </c>
      <c r="T28" s="280">
        <v>117</v>
      </c>
      <c r="U28" s="280">
        <v>30</v>
      </c>
      <c r="V28" s="280">
        <v>0</v>
      </c>
      <c r="W28" s="280">
        <v>0</v>
      </c>
      <c r="X28" s="280">
        <v>40</v>
      </c>
      <c r="Y28" s="254">
        <f t="shared" si="22"/>
        <v>1088.6550689306416</v>
      </c>
      <c r="Z28" s="254">
        <f t="shared" si="23"/>
        <v>947573.79433102557</v>
      </c>
      <c r="AA28" s="254">
        <f t="shared" si="24"/>
        <v>2582345.2431779094</v>
      </c>
    </row>
    <row r="29" spans="1:31" x14ac:dyDescent="0.2">
      <c r="A29" s="56" t="s">
        <v>76</v>
      </c>
      <c r="B29" s="413">
        <f>F2</f>
        <v>12938.050030643617</v>
      </c>
      <c r="C29" s="414">
        <v>41382.021626949485</v>
      </c>
      <c r="D29" s="414">
        <f>F4</f>
        <v>39639.780336289943</v>
      </c>
      <c r="E29" s="414">
        <v>65.265595033140457</v>
      </c>
      <c r="F29" s="414">
        <f>F$7</f>
        <v>188</v>
      </c>
      <c r="G29" s="414">
        <f>F6</f>
        <v>2416.2644052368146</v>
      </c>
      <c r="H29" s="68">
        <v>24</v>
      </c>
      <c r="I29" s="279">
        <v>86.5</v>
      </c>
      <c r="J29" s="280">
        <v>0</v>
      </c>
      <c r="K29" s="280">
        <v>0</v>
      </c>
      <c r="L29" s="280">
        <v>0</v>
      </c>
      <c r="M29" s="280">
        <v>0</v>
      </c>
      <c r="N29" s="280">
        <v>139</v>
      </c>
      <c r="O29" s="254">
        <f t="shared" si="19"/>
        <v>348.02083333333331</v>
      </c>
      <c r="P29" s="254">
        <f t="shared" si="20"/>
        <v>577462.44909189083</v>
      </c>
      <c r="Q29" s="254">
        <f t="shared" si="21"/>
        <v>1459560.8885595996</v>
      </c>
      <c r="R29" s="68">
        <v>24</v>
      </c>
      <c r="S29" s="279">
        <v>48</v>
      </c>
      <c r="T29" s="280">
        <v>117</v>
      </c>
      <c r="U29" s="280">
        <v>30</v>
      </c>
      <c r="V29" s="280">
        <v>0</v>
      </c>
      <c r="W29" s="280">
        <v>0</v>
      </c>
      <c r="X29" s="280">
        <v>40</v>
      </c>
      <c r="Y29" s="254">
        <f t="shared" si="22"/>
        <v>1088.6550689306416</v>
      </c>
      <c r="Z29" s="254">
        <f t="shared" si="23"/>
        <v>947573.79433102557</v>
      </c>
      <c r="AA29" s="254">
        <f t="shared" si="24"/>
        <v>2582345.2431779094</v>
      </c>
    </row>
    <row r="30" spans="1:31" x14ac:dyDescent="0.2">
      <c r="A30" s="56" t="s">
        <v>259</v>
      </c>
      <c r="B30" s="414">
        <f>F2</f>
        <v>12938.050030643617</v>
      </c>
      <c r="C30" s="414">
        <v>0</v>
      </c>
      <c r="D30" s="414">
        <f>F4</f>
        <v>39639.780336289943</v>
      </c>
      <c r="E30" s="414">
        <v>65.265595033140457</v>
      </c>
      <c r="F30" s="414">
        <f>F$7*$AC$14</f>
        <v>150.4</v>
      </c>
      <c r="G30" s="414">
        <f>F6</f>
        <v>2416.2644052368146</v>
      </c>
      <c r="H30" s="68">
        <v>25</v>
      </c>
      <c r="I30" s="279">
        <v>86.5</v>
      </c>
      <c r="J30" s="280">
        <v>0</v>
      </c>
      <c r="K30" s="280">
        <v>0</v>
      </c>
      <c r="L30" s="280">
        <v>0</v>
      </c>
      <c r="M30" s="280">
        <v>0</v>
      </c>
      <c r="N30" s="280">
        <v>139</v>
      </c>
      <c r="O30" s="254">
        <f t="shared" si="19"/>
        <v>348.02083333333331</v>
      </c>
      <c r="P30" s="254">
        <f t="shared" si="20"/>
        <v>577462.44909189083</v>
      </c>
      <c r="Q30" s="254">
        <f t="shared" si="21"/>
        <v>1459560.8885595996</v>
      </c>
      <c r="R30" s="68">
        <v>25</v>
      </c>
      <c r="S30" s="279">
        <v>48</v>
      </c>
      <c r="T30" s="280">
        <v>117</v>
      </c>
      <c r="U30" s="280">
        <v>30</v>
      </c>
      <c r="V30" s="280">
        <v>0</v>
      </c>
      <c r="W30" s="280">
        <v>0</v>
      </c>
      <c r="X30" s="280">
        <v>40</v>
      </c>
      <c r="Y30" s="254">
        <f t="shared" si="22"/>
        <v>1088.6550689306416</v>
      </c>
      <c r="Z30" s="254">
        <f t="shared" si="23"/>
        <v>947573.79433102557</v>
      </c>
      <c r="AA30" s="254">
        <f t="shared" si="24"/>
        <v>2582345.2431779094</v>
      </c>
    </row>
    <row r="31" spans="1:31" x14ac:dyDescent="0.2">
      <c r="A31" s="62" t="s">
        <v>264</v>
      </c>
      <c r="B31" s="413">
        <v>0</v>
      </c>
      <c r="C31" s="414">
        <v>0</v>
      </c>
      <c r="D31" s="414">
        <v>0</v>
      </c>
      <c r="E31" s="414">
        <v>0</v>
      </c>
      <c r="F31" s="414">
        <v>0</v>
      </c>
      <c r="G31" s="414">
        <f>F6</f>
        <v>2416.2644052368146</v>
      </c>
      <c r="H31" s="68">
        <v>26</v>
      </c>
      <c r="I31" s="279">
        <v>86.5</v>
      </c>
      <c r="J31" s="280">
        <v>0</v>
      </c>
      <c r="K31" s="280">
        <v>0</v>
      </c>
      <c r="L31" s="280">
        <v>0</v>
      </c>
      <c r="M31" s="280">
        <v>0</v>
      </c>
      <c r="N31" s="280">
        <v>139</v>
      </c>
      <c r="O31" s="254">
        <f t="shared" si="19"/>
        <v>348.02083333333331</v>
      </c>
      <c r="P31" s="254">
        <f t="shared" si="20"/>
        <v>577462.44909189083</v>
      </c>
      <c r="Q31" s="254">
        <f t="shared" si="21"/>
        <v>1459560.8885595996</v>
      </c>
      <c r="R31" s="68">
        <v>26</v>
      </c>
      <c r="S31" s="279">
        <v>48</v>
      </c>
      <c r="T31" s="280">
        <v>117</v>
      </c>
      <c r="U31" s="280">
        <v>30</v>
      </c>
      <c r="V31" s="280">
        <v>0</v>
      </c>
      <c r="W31" s="280">
        <v>0</v>
      </c>
      <c r="X31" s="280">
        <v>40</v>
      </c>
      <c r="Y31" s="254">
        <f t="shared" si="22"/>
        <v>1088.6550689306416</v>
      </c>
      <c r="Z31" s="254">
        <f t="shared" si="23"/>
        <v>947573.79433102557</v>
      </c>
      <c r="AA31" s="254">
        <f t="shared" si="24"/>
        <v>2582345.2431779094</v>
      </c>
    </row>
    <row r="32" spans="1:31" x14ac:dyDescent="0.2">
      <c r="A32" s="62" t="s">
        <v>265</v>
      </c>
      <c r="B32" s="414">
        <v>0</v>
      </c>
      <c r="C32" s="414">
        <v>0</v>
      </c>
      <c r="D32" s="414">
        <v>0</v>
      </c>
      <c r="E32" s="414">
        <v>0</v>
      </c>
      <c r="F32" s="414">
        <v>0</v>
      </c>
      <c r="G32" s="414">
        <v>0</v>
      </c>
      <c r="H32" s="68">
        <v>27</v>
      </c>
      <c r="I32" s="279">
        <v>86.5</v>
      </c>
      <c r="J32" s="280">
        <v>0</v>
      </c>
      <c r="K32" s="280">
        <v>0</v>
      </c>
      <c r="L32" s="280">
        <v>0</v>
      </c>
      <c r="M32" s="280">
        <v>0</v>
      </c>
      <c r="N32" s="280">
        <v>139</v>
      </c>
      <c r="O32" s="254">
        <f t="shared" si="19"/>
        <v>348.02083333333331</v>
      </c>
      <c r="P32" s="254">
        <f t="shared" si="20"/>
        <v>577462.44909189083</v>
      </c>
      <c r="Q32" s="254">
        <f t="shared" si="21"/>
        <v>1459560.8885595996</v>
      </c>
      <c r="R32" s="68">
        <v>27</v>
      </c>
      <c r="S32" s="279">
        <v>48</v>
      </c>
      <c r="T32" s="280">
        <v>117</v>
      </c>
      <c r="U32" s="280">
        <v>30</v>
      </c>
      <c r="V32" s="280">
        <v>0</v>
      </c>
      <c r="W32" s="280">
        <v>0</v>
      </c>
      <c r="X32" s="280">
        <v>40</v>
      </c>
      <c r="Y32" s="254">
        <f t="shared" si="22"/>
        <v>1088.6550689306416</v>
      </c>
      <c r="Z32" s="254">
        <f t="shared" si="23"/>
        <v>947573.79433102557</v>
      </c>
      <c r="AA32" s="254">
        <f t="shared" si="24"/>
        <v>2582345.2431779094</v>
      </c>
    </row>
    <row r="33" spans="1:27" x14ac:dyDescent="0.2">
      <c r="A33" s="63" t="s">
        <v>261</v>
      </c>
      <c r="B33" s="415">
        <f>F2*AC15</f>
        <v>10350.440024514894</v>
      </c>
      <c r="C33" s="415">
        <f>F3*AC15</f>
        <v>20414.229821417401</v>
      </c>
      <c r="D33" s="415">
        <f>F4*AC15</f>
        <v>31711.824269031957</v>
      </c>
      <c r="E33" s="415">
        <f>F5*AC15</f>
        <v>51.606296165242362</v>
      </c>
      <c r="F33" s="415">
        <f>F$7*$AC$15</f>
        <v>150.4</v>
      </c>
      <c r="G33" s="415">
        <v>0</v>
      </c>
      <c r="H33" s="68">
        <v>28</v>
      </c>
      <c r="I33" s="279">
        <v>86.5</v>
      </c>
      <c r="J33" s="280">
        <v>0</v>
      </c>
      <c r="K33" s="280">
        <v>0</v>
      </c>
      <c r="L33" s="280">
        <v>0</v>
      </c>
      <c r="M33" s="280">
        <v>0</v>
      </c>
      <c r="N33" s="280">
        <v>139</v>
      </c>
      <c r="O33" s="254">
        <f t="shared" si="19"/>
        <v>348.02083333333331</v>
      </c>
      <c r="P33" s="254">
        <f t="shared" si="20"/>
        <v>577462.44909189083</v>
      </c>
      <c r="Q33" s="254">
        <f t="shared" si="21"/>
        <v>1459560.8885595996</v>
      </c>
      <c r="R33" s="68">
        <v>28</v>
      </c>
      <c r="S33" s="279">
        <v>48</v>
      </c>
      <c r="T33" s="280">
        <v>117</v>
      </c>
      <c r="U33" s="280">
        <v>30</v>
      </c>
      <c r="V33" s="280">
        <v>0</v>
      </c>
      <c r="W33" s="280">
        <v>0</v>
      </c>
      <c r="X33" s="280">
        <v>40</v>
      </c>
      <c r="Y33" s="254">
        <f t="shared" si="22"/>
        <v>1088.6550689306416</v>
      </c>
      <c r="Z33" s="254">
        <f t="shared" si="23"/>
        <v>947573.79433102557</v>
      </c>
      <c r="AA33" s="254">
        <f t="shared" si="24"/>
        <v>2582345.2431779094</v>
      </c>
    </row>
    <row r="34" spans="1:27" x14ac:dyDescent="0.2">
      <c r="B34" s="69"/>
      <c r="H34" s="68">
        <v>29</v>
      </c>
      <c r="I34" s="279">
        <v>86.5</v>
      </c>
      <c r="J34" s="280">
        <v>0</v>
      </c>
      <c r="K34" s="280">
        <v>0</v>
      </c>
      <c r="L34" s="280">
        <v>0</v>
      </c>
      <c r="M34" s="280">
        <v>0</v>
      </c>
      <c r="N34" s="280">
        <v>139</v>
      </c>
      <c r="O34" s="254">
        <f t="shared" si="19"/>
        <v>348.02083333333331</v>
      </c>
      <c r="P34" s="254">
        <f t="shared" si="20"/>
        <v>577462.44909189083</v>
      </c>
      <c r="Q34" s="254">
        <f t="shared" si="21"/>
        <v>1459560.8885595996</v>
      </c>
      <c r="R34" s="68">
        <v>29</v>
      </c>
      <c r="S34" s="279">
        <v>48</v>
      </c>
      <c r="T34" s="280">
        <v>117</v>
      </c>
      <c r="U34" s="280">
        <v>30</v>
      </c>
      <c r="V34" s="280">
        <v>0</v>
      </c>
      <c r="W34" s="280">
        <v>0</v>
      </c>
      <c r="X34" s="280">
        <v>40</v>
      </c>
      <c r="Y34" s="254">
        <f t="shared" si="22"/>
        <v>1088.6550689306416</v>
      </c>
      <c r="Z34" s="254">
        <f t="shared" si="23"/>
        <v>947573.79433102557</v>
      </c>
      <c r="AA34" s="254">
        <f t="shared" si="24"/>
        <v>2582345.2431779094</v>
      </c>
    </row>
    <row r="35" spans="1:27" x14ac:dyDescent="0.2">
      <c r="H35" s="68">
        <v>30</v>
      </c>
      <c r="I35" s="279">
        <v>86.5</v>
      </c>
      <c r="J35" s="280">
        <v>0</v>
      </c>
      <c r="K35" s="280">
        <v>0</v>
      </c>
      <c r="L35" s="280">
        <v>0</v>
      </c>
      <c r="M35" s="280">
        <v>0</v>
      </c>
      <c r="N35" s="280">
        <v>139</v>
      </c>
      <c r="O35" s="254">
        <f t="shared" si="19"/>
        <v>348.02083333333331</v>
      </c>
      <c r="P35" s="254">
        <f t="shared" si="20"/>
        <v>577462.44909189083</v>
      </c>
      <c r="Q35" s="254">
        <f t="shared" si="21"/>
        <v>1459560.8885595996</v>
      </c>
      <c r="R35" s="68">
        <v>30</v>
      </c>
      <c r="S35" s="279">
        <v>48</v>
      </c>
      <c r="T35" s="280">
        <v>117</v>
      </c>
      <c r="U35" s="280">
        <v>30</v>
      </c>
      <c r="V35" s="280">
        <v>0</v>
      </c>
      <c r="W35" s="280">
        <v>0</v>
      </c>
      <c r="X35" s="280">
        <v>40</v>
      </c>
      <c r="Y35" s="254">
        <f t="shared" si="22"/>
        <v>1088.6550689306416</v>
      </c>
      <c r="Z35" s="254">
        <f t="shared" si="23"/>
        <v>947573.79433102557</v>
      </c>
      <c r="AA35" s="254">
        <f t="shared" si="24"/>
        <v>2582345.2431779094</v>
      </c>
    </row>
    <row r="36" spans="1:27" x14ac:dyDescent="0.2">
      <c r="C36" s="68"/>
      <c r="D36" s="68"/>
      <c r="E36" s="68"/>
      <c r="F36" s="68"/>
      <c r="G36" s="68"/>
      <c r="H36" s="68">
        <v>31</v>
      </c>
      <c r="I36" s="279">
        <v>86.5</v>
      </c>
      <c r="J36" s="280">
        <v>0</v>
      </c>
      <c r="K36" s="280">
        <v>0</v>
      </c>
      <c r="L36" s="280">
        <v>0</v>
      </c>
      <c r="M36" s="280">
        <v>0</v>
      </c>
      <c r="N36" s="280">
        <v>139</v>
      </c>
      <c r="O36" s="254">
        <f t="shared" si="19"/>
        <v>348.02083333333331</v>
      </c>
      <c r="P36" s="254">
        <f t="shared" si="20"/>
        <v>577462.44909189083</v>
      </c>
      <c r="Q36" s="254">
        <f t="shared" si="21"/>
        <v>1459560.8885595996</v>
      </c>
      <c r="R36" s="68">
        <v>31</v>
      </c>
      <c r="S36" s="279">
        <v>48</v>
      </c>
      <c r="T36" s="280">
        <v>117</v>
      </c>
      <c r="U36" s="280">
        <v>30</v>
      </c>
      <c r="V36" s="280">
        <v>0</v>
      </c>
      <c r="W36" s="280">
        <v>0</v>
      </c>
      <c r="X36" s="280">
        <v>40</v>
      </c>
      <c r="Y36" s="254">
        <f t="shared" si="22"/>
        <v>1088.6550689306416</v>
      </c>
      <c r="Z36" s="254">
        <f t="shared" si="23"/>
        <v>947573.79433102557</v>
      </c>
      <c r="AA36" s="254">
        <f t="shared" si="24"/>
        <v>2582345.2431779094</v>
      </c>
    </row>
    <row r="37" spans="1:27" x14ac:dyDescent="0.2">
      <c r="C37" s="68"/>
      <c r="D37" s="68"/>
      <c r="E37" s="68"/>
      <c r="F37" s="68"/>
      <c r="G37" s="68"/>
      <c r="H37" s="68">
        <v>32</v>
      </c>
      <c r="I37" s="279">
        <v>86.5</v>
      </c>
      <c r="J37" s="280">
        <v>0</v>
      </c>
      <c r="K37" s="280">
        <v>0</v>
      </c>
      <c r="L37" s="280">
        <v>0</v>
      </c>
      <c r="M37" s="280">
        <v>0</v>
      </c>
      <c r="N37" s="280">
        <v>139</v>
      </c>
      <c r="O37" s="254">
        <f t="shared" si="19"/>
        <v>348.02083333333331</v>
      </c>
      <c r="P37" s="254">
        <f t="shared" si="20"/>
        <v>577462.44909189083</v>
      </c>
      <c r="Q37" s="254">
        <f t="shared" si="21"/>
        <v>1459560.8885595996</v>
      </c>
      <c r="R37" s="68">
        <v>32</v>
      </c>
      <c r="S37" s="279">
        <v>48</v>
      </c>
      <c r="T37" s="280">
        <v>117</v>
      </c>
      <c r="U37" s="280">
        <v>30</v>
      </c>
      <c r="V37" s="280">
        <v>0</v>
      </c>
      <c r="W37" s="280">
        <v>0</v>
      </c>
      <c r="X37" s="280">
        <v>40</v>
      </c>
      <c r="Y37" s="254">
        <f t="shared" si="22"/>
        <v>1088.6550689306416</v>
      </c>
      <c r="Z37" s="254">
        <f t="shared" si="23"/>
        <v>947573.79433102557</v>
      </c>
      <c r="AA37" s="254">
        <f t="shared" si="24"/>
        <v>2582345.2431779094</v>
      </c>
    </row>
    <row r="38" spans="1:27" x14ac:dyDescent="0.2">
      <c r="C38" s="68"/>
      <c r="D38" s="68"/>
      <c r="E38" s="68"/>
      <c r="F38" s="68"/>
      <c r="G38" s="68"/>
      <c r="H38" s="68">
        <v>33</v>
      </c>
      <c r="I38" s="279">
        <v>86.5</v>
      </c>
      <c r="J38" s="280">
        <v>0</v>
      </c>
      <c r="K38" s="280">
        <v>0</v>
      </c>
      <c r="L38" s="280">
        <v>0</v>
      </c>
      <c r="M38" s="280">
        <v>0</v>
      </c>
      <c r="N38" s="280">
        <v>139</v>
      </c>
      <c r="O38" s="254">
        <f t="shared" si="19"/>
        <v>348.02083333333331</v>
      </c>
      <c r="P38" s="254">
        <f t="shared" si="20"/>
        <v>577462.44909189083</v>
      </c>
      <c r="Q38" s="254">
        <f t="shared" si="21"/>
        <v>1459560.8885595996</v>
      </c>
      <c r="R38" s="68">
        <v>33</v>
      </c>
      <c r="S38" s="279">
        <v>48</v>
      </c>
      <c r="T38" s="280">
        <v>117</v>
      </c>
      <c r="U38" s="280">
        <v>30</v>
      </c>
      <c r="V38" s="280">
        <v>0</v>
      </c>
      <c r="W38" s="280">
        <v>0</v>
      </c>
      <c r="X38" s="280">
        <v>40</v>
      </c>
      <c r="Y38" s="254">
        <f t="shared" si="22"/>
        <v>1088.6550689306416</v>
      </c>
      <c r="Z38" s="254">
        <f t="shared" si="23"/>
        <v>947573.79433102557</v>
      </c>
      <c r="AA38" s="254">
        <f t="shared" si="24"/>
        <v>2582345.2431779094</v>
      </c>
    </row>
    <row r="39" spans="1:27" x14ac:dyDescent="0.2">
      <c r="C39" s="68"/>
      <c r="D39" s="68"/>
      <c r="E39" s="68"/>
      <c r="F39" s="68"/>
      <c r="G39" s="68"/>
      <c r="H39" s="68">
        <v>34</v>
      </c>
      <c r="I39" s="279">
        <v>86.5</v>
      </c>
      <c r="J39" s="280">
        <v>0</v>
      </c>
      <c r="K39" s="280">
        <v>0</v>
      </c>
      <c r="L39" s="280">
        <v>0</v>
      </c>
      <c r="M39" s="280">
        <v>0</v>
      </c>
      <c r="N39" s="280">
        <v>139</v>
      </c>
      <c r="O39" s="254">
        <f t="shared" si="19"/>
        <v>348.02083333333331</v>
      </c>
      <c r="P39" s="254">
        <f t="shared" si="20"/>
        <v>577462.44909189083</v>
      </c>
      <c r="Q39" s="254">
        <f t="shared" si="21"/>
        <v>1459560.8885595996</v>
      </c>
      <c r="R39" s="68">
        <v>34</v>
      </c>
      <c r="S39" s="279">
        <v>48</v>
      </c>
      <c r="T39" s="280">
        <v>117</v>
      </c>
      <c r="U39" s="280">
        <v>30</v>
      </c>
      <c r="V39" s="280">
        <v>0</v>
      </c>
      <c r="W39" s="280">
        <v>0</v>
      </c>
      <c r="X39" s="280">
        <v>40</v>
      </c>
      <c r="Y39" s="254">
        <f t="shared" si="22"/>
        <v>1088.6550689306416</v>
      </c>
      <c r="Z39" s="254">
        <f t="shared" si="23"/>
        <v>947573.79433102557</v>
      </c>
      <c r="AA39" s="254">
        <f t="shared" si="24"/>
        <v>2582345.2431779094</v>
      </c>
    </row>
    <row r="40" spans="1:27" x14ac:dyDescent="0.2">
      <c r="C40" s="68"/>
      <c r="D40" s="68"/>
      <c r="E40" s="68"/>
      <c r="F40" s="68"/>
      <c r="G40" s="68"/>
      <c r="H40" s="68">
        <v>35</v>
      </c>
      <c r="I40" s="279">
        <v>86.5</v>
      </c>
      <c r="J40" s="280">
        <v>0</v>
      </c>
      <c r="K40" s="280">
        <v>0</v>
      </c>
      <c r="L40" s="280">
        <v>0</v>
      </c>
      <c r="M40" s="280">
        <v>0</v>
      </c>
      <c r="N40" s="280">
        <v>139</v>
      </c>
      <c r="O40" s="254">
        <f t="shared" si="19"/>
        <v>348.02083333333331</v>
      </c>
      <c r="P40" s="254">
        <f t="shared" si="20"/>
        <v>577462.44909189083</v>
      </c>
      <c r="Q40" s="254">
        <f t="shared" si="21"/>
        <v>1459560.8885595996</v>
      </c>
      <c r="R40" s="68">
        <v>35</v>
      </c>
      <c r="S40" s="279">
        <v>48</v>
      </c>
      <c r="T40" s="280">
        <v>117</v>
      </c>
      <c r="U40" s="280">
        <v>30</v>
      </c>
      <c r="V40" s="280">
        <v>0</v>
      </c>
      <c r="W40" s="280">
        <v>0</v>
      </c>
      <c r="X40" s="280">
        <v>40</v>
      </c>
      <c r="Y40" s="254">
        <f t="shared" si="22"/>
        <v>1088.6550689306416</v>
      </c>
      <c r="Z40" s="254">
        <f t="shared" si="23"/>
        <v>947573.79433102557</v>
      </c>
      <c r="AA40" s="254">
        <f t="shared" si="24"/>
        <v>2582345.2431779094</v>
      </c>
    </row>
    <row r="41" spans="1:27" x14ac:dyDescent="0.2">
      <c r="C41" s="68"/>
      <c r="D41" s="68"/>
      <c r="E41" s="68"/>
      <c r="F41" s="68"/>
      <c r="G41" s="68"/>
      <c r="H41" s="68">
        <v>36</v>
      </c>
      <c r="I41" s="279">
        <v>86.5</v>
      </c>
      <c r="J41" s="280">
        <v>0</v>
      </c>
      <c r="K41" s="280">
        <v>0</v>
      </c>
      <c r="L41" s="280">
        <v>0</v>
      </c>
      <c r="M41" s="280">
        <v>0</v>
      </c>
      <c r="N41" s="280">
        <v>139</v>
      </c>
      <c r="O41" s="254">
        <f t="shared" si="19"/>
        <v>348.02083333333331</v>
      </c>
      <c r="P41" s="254">
        <f t="shared" si="20"/>
        <v>577462.44909189083</v>
      </c>
      <c r="Q41" s="254">
        <f t="shared" si="21"/>
        <v>1459560.8885595996</v>
      </c>
      <c r="R41" s="68">
        <v>36</v>
      </c>
      <c r="S41" s="279">
        <v>48</v>
      </c>
      <c r="T41" s="280">
        <v>117</v>
      </c>
      <c r="U41" s="280">
        <v>30</v>
      </c>
      <c r="V41" s="280">
        <v>0</v>
      </c>
      <c r="W41" s="280">
        <v>0</v>
      </c>
      <c r="X41" s="280">
        <v>40</v>
      </c>
      <c r="Y41" s="254">
        <f t="shared" si="22"/>
        <v>1088.6550689306416</v>
      </c>
      <c r="Z41" s="254">
        <f t="shared" si="23"/>
        <v>947573.79433102557</v>
      </c>
      <c r="AA41" s="254">
        <f t="shared" si="24"/>
        <v>2582345.2431779094</v>
      </c>
    </row>
    <row r="42" spans="1:27" x14ac:dyDescent="0.2">
      <c r="C42" s="68"/>
      <c r="D42" s="68"/>
      <c r="E42" s="68"/>
      <c r="F42" s="68"/>
      <c r="G42" s="68"/>
      <c r="H42" s="68">
        <v>37</v>
      </c>
      <c r="I42" s="279">
        <v>86.5</v>
      </c>
      <c r="J42" s="280">
        <v>0</v>
      </c>
      <c r="K42" s="280">
        <v>0</v>
      </c>
      <c r="L42" s="280">
        <v>0</v>
      </c>
      <c r="M42" s="280">
        <v>0</v>
      </c>
      <c r="N42" s="280">
        <v>139</v>
      </c>
      <c r="O42" s="254">
        <f t="shared" si="19"/>
        <v>348.02083333333331</v>
      </c>
      <c r="P42" s="254">
        <f t="shared" si="20"/>
        <v>577462.44909189083</v>
      </c>
      <c r="Q42" s="254">
        <f t="shared" si="21"/>
        <v>1459560.8885595996</v>
      </c>
      <c r="R42" s="68">
        <v>37</v>
      </c>
      <c r="S42" s="279">
        <v>48</v>
      </c>
      <c r="T42" s="280">
        <v>117</v>
      </c>
      <c r="U42" s="280">
        <v>30</v>
      </c>
      <c r="V42" s="280">
        <v>0</v>
      </c>
      <c r="W42" s="280">
        <v>0</v>
      </c>
      <c r="X42" s="280">
        <v>40</v>
      </c>
      <c r="Y42" s="254">
        <f t="shared" si="22"/>
        <v>1088.6550689306416</v>
      </c>
      <c r="Z42" s="254">
        <f t="shared" si="23"/>
        <v>947573.79433102557</v>
      </c>
      <c r="AA42" s="254">
        <f t="shared" si="24"/>
        <v>2582345.2431779094</v>
      </c>
    </row>
    <row r="43" spans="1:27" x14ac:dyDescent="0.2">
      <c r="C43" s="68"/>
      <c r="D43" s="68"/>
      <c r="E43" s="68"/>
      <c r="F43" s="68"/>
      <c r="G43" s="68"/>
      <c r="H43" s="68">
        <v>38</v>
      </c>
      <c r="I43" s="279">
        <v>86.5</v>
      </c>
      <c r="J43" s="280">
        <v>0</v>
      </c>
      <c r="K43" s="280">
        <v>0</v>
      </c>
      <c r="L43" s="280">
        <v>0</v>
      </c>
      <c r="M43" s="280">
        <v>0</v>
      </c>
      <c r="N43" s="280">
        <v>139</v>
      </c>
      <c r="O43" s="254">
        <f t="shared" si="19"/>
        <v>348.02083333333331</v>
      </c>
      <c r="P43" s="254">
        <f t="shared" si="20"/>
        <v>577462.44909189083</v>
      </c>
      <c r="Q43" s="254">
        <f t="shared" si="21"/>
        <v>1459560.8885595996</v>
      </c>
      <c r="R43" s="68">
        <v>38</v>
      </c>
      <c r="S43" s="279">
        <v>48</v>
      </c>
      <c r="T43" s="280">
        <v>117</v>
      </c>
      <c r="U43" s="280">
        <v>30</v>
      </c>
      <c r="V43" s="280">
        <v>0</v>
      </c>
      <c r="W43" s="280">
        <v>0</v>
      </c>
      <c r="X43" s="280">
        <v>40</v>
      </c>
      <c r="Y43" s="254">
        <f t="shared" si="22"/>
        <v>1088.6550689306416</v>
      </c>
      <c r="Z43" s="254">
        <f t="shared" si="23"/>
        <v>947573.79433102557</v>
      </c>
      <c r="AA43" s="254">
        <f t="shared" si="24"/>
        <v>2582345.2431779094</v>
      </c>
    </row>
    <row r="44" spans="1:27" x14ac:dyDescent="0.2">
      <c r="C44" s="68"/>
      <c r="D44" s="68"/>
      <c r="E44" s="68"/>
      <c r="F44" s="68"/>
      <c r="G44" s="68"/>
      <c r="H44" s="68">
        <v>39</v>
      </c>
      <c r="I44" s="279">
        <v>86.5</v>
      </c>
      <c r="J44" s="280">
        <v>0</v>
      </c>
      <c r="K44" s="280">
        <v>0</v>
      </c>
      <c r="L44" s="280">
        <v>0</v>
      </c>
      <c r="M44" s="280">
        <v>0</v>
      </c>
      <c r="N44" s="280">
        <v>139</v>
      </c>
      <c r="O44" s="254">
        <f t="shared" si="19"/>
        <v>348.02083333333331</v>
      </c>
      <c r="P44" s="254">
        <f t="shared" si="20"/>
        <v>577462.44909189083</v>
      </c>
      <c r="Q44" s="254">
        <f t="shared" si="21"/>
        <v>1459560.8885595996</v>
      </c>
      <c r="R44" s="68">
        <v>39</v>
      </c>
      <c r="S44" s="279">
        <v>48</v>
      </c>
      <c r="T44" s="280">
        <v>117</v>
      </c>
      <c r="U44" s="280">
        <v>30</v>
      </c>
      <c r="V44" s="280">
        <v>0</v>
      </c>
      <c r="W44" s="280">
        <v>0</v>
      </c>
      <c r="X44" s="280">
        <v>40</v>
      </c>
      <c r="Y44" s="254">
        <f t="shared" si="22"/>
        <v>1088.6550689306416</v>
      </c>
      <c r="Z44" s="254">
        <f t="shared" si="23"/>
        <v>947573.79433102557</v>
      </c>
      <c r="AA44" s="254">
        <f t="shared" si="24"/>
        <v>2582345.2431779094</v>
      </c>
    </row>
    <row r="45" spans="1:27" x14ac:dyDescent="0.2">
      <c r="C45" s="68"/>
      <c r="D45" s="68"/>
      <c r="E45" s="68"/>
      <c r="F45" s="68"/>
      <c r="G45" s="68"/>
      <c r="H45" s="68">
        <v>40</v>
      </c>
      <c r="I45" s="279">
        <v>86.5</v>
      </c>
      <c r="J45" s="280">
        <v>0</v>
      </c>
      <c r="K45" s="280">
        <v>0</v>
      </c>
      <c r="L45" s="280">
        <v>0</v>
      </c>
      <c r="M45" s="280">
        <v>0</v>
      </c>
      <c r="N45" s="280">
        <v>139</v>
      </c>
      <c r="O45" s="254">
        <f t="shared" si="19"/>
        <v>348.02083333333331</v>
      </c>
      <c r="P45" s="254">
        <f t="shared" si="20"/>
        <v>577462.44909189083</v>
      </c>
      <c r="Q45" s="254">
        <f t="shared" si="21"/>
        <v>1459560.8885595996</v>
      </c>
      <c r="R45" s="68">
        <v>40</v>
      </c>
      <c r="S45" s="279">
        <v>48</v>
      </c>
      <c r="T45" s="280">
        <v>117</v>
      </c>
      <c r="U45" s="280">
        <v>30</v>
      </c>
      <c r="V45" s="280">
        <v>0</v>
      </c>
      <c r="W45" s="280">
        <v>0</v>
      </c>
      <c r="X45" s="280">
        <v>40</v>
      </c>
      <c r="Y45" s="254">
        <f t="shared" si="22"/>
        <v>1088.6550689306416</v>
      </c>
      <c r="Z45" s="254">
        <f t="shared" si="23"/>
        <v>947573.79433102557</v>
      </c>
      <c r="AA45" s="254">
        <f t="shared" si="24"/>
        <v>2582345.2431779094</v>
      </c>
    </row>
    <row r="46" spans="1:27" x14ac:dyDescent="0.2">
      <c r="C46" s="68"/>
      <c r="D46" s="68"/>
      <c r="E46" s="68"/>
      <c r="F46" s="68"/>
      <c r="G46" s="68"/>
      <c r="H46" s="68">
        <v>41</v>
      </c>
      <c r="I46" s="279">
        <v>86.5</v>
      </c>
      <c r="J46" s="280">
        <v>0</v>
      </c>
      <c r="K46" s="280">
        <v>0</v>
      </c>
      <c r="L46" s="280">
        <v>0</v>
      </c>
      <c r="M46" s="280">
        <v>0</v>
      </c>
      <c r="N46" s="280">
        <v>139</v>
      </c>
      <c r="O46" s="254">
        <f t="shared" si="19"/>
        <v>348.02083333333331</v>
      </c>
      <c r="P46" s="254">
        <f t="shared" si="20"/>
        <v>577462.44909189083</v>
      </c>
      <c r="Q46" s="254">
        <f t="shared" si="21"/>
        <v>1459560.8885595996</v>
      </c>
      <c r="R46" s="68">
        <v>41</v>
      </c>
      <c r="S46" s="279">
        <v>48</v>
      </c>
      <c r="T46" s="280">
        <v>117</v>
      </c>
      <c r="U46" s="280">
        <v>30</v>
      </c>
      <c r="V46" s="280">
        <v>0</v>
      </c>
      <c r="W46" s="280">
        <v>0</v>
      </c>
      <c r="X46" s="280">
        <v>40</v>
      </c>
      <c r="Y46" s="254">
        <f t="shared" si="22"/>
        <v>1088.6550689306416</v>
      </c>
      <c r="Z46" s="254">
        <f t="shared" si="23"/>
        <v>947573.79433102557</v>
      </c>
      <c r="AA46" s="254">
        <f t="shared" si="24"/>
        <v>2582345.2431779094</v>
      </c>
    </row>
    <row r="47" spans="1:27" x14ac:dyDescent="0.2">
      <c r="C47" s="68"/>
      <c r="D47" s="68"/>
      <c r="E47" s="68"/>
      <c r="F47" s="68"/>
      <c r="G47" s="68"/>
      <c r="H47" s="68">
        <v>42</v>
      </c>
      <c r="I47" s="279">
        <v>86.5</v>
      </c>
      <c r="J47" s="280">
        <v>0</v>
      </c>
      <c r="K47" s="280">
        <v>0</v>
      </c>
      <c r="L47" s="280">
        <v>0</v>
      </c>
      <c r="M47" s="280">
        <v>0</v>
      </c>
      <c r="N47" s="280">
        <v>139</v>
      </c>
      <c r="O47" s="254">
        <f t="shared" si="19"/>
        <v>348.02083333333331</v>
      </c>
      <c r="P47" s="254">
        <f t="shared" si="20"/>
        <v>577462.44909189083</v>
      </c>
      <c r="Q47" s="254">
        <f t="shared" si="21"/>
        <v>1459560.8885595996</v>
      </c>
      <c r="R47" s="68">
        <v>42</v>
      </c>
      <c r="S47" s="279">
        <v>48</v>
      </c>
      <c r="T47" s="280">
        <v>117</v>
      </c>
      <c r="U47" s="280">
        <v>30</v>
      </c>
      <c r="V47" s="280">
        <v>0</v>
      </c>
      <c r="W47" s="280">
        <v>0</v>
      </c>
      <c r="X47" s="280">
        <v>40</v>
      </c>
      <c r="Y47" s="254">
        <f t="shared" si="22"/>
        <v>1088.6550689306416</v>
      </c>
      <c r="Z47" s="254">
        <f t="shared" si="23"/>
        <v>947573.79433102557</v>
      </c>
      <c r="AA47" s="254">
        <f t="shared" si="24"/>
        <v>2582345.2431779094</v>
      </c>
    </row>
    <row r="48" spans="1:27" x14ac:dyDescent="0.2">
      <c r="C48" s="68"/>
      <c r="D48" s="68"/>
      <c r="E48" s="68"/>
      <c r="F48" s="68"/>
      <c r="G48" s="68"/>
      <c r="H48" s="68">
        <v>43</v>
      </c>
      <c r="I48" s="279">
        <v>86.5</v>
      </c>
      <c r="J48" s="280">
        <v>0</v>
      </c>
      <c r="K48" s="280">
        <v>0</v>
      </c>
      <c r="L48" s="280">
        <v>0</v>
      </c>
      <c r="M48" s="280">
        <v>0</v>
      </c>
      <c r="N48" s="280">
        <v>139</v>
      </c>
      <c r="O48" s="254">
        <f t="shared" si="19"/>
        <v>348.02083333333331</v>
      </c>
      <c r="P48" s="254">
        <f t="shared" si="20"/>
        <v>577462.44909189083</v>
      </c>
      <c r="Q48" s="254">
        <f t="shared" si="21"/>
        <v>1459560.8885595996</v>
      </c>
      <c r="R48" s="68">
        <v>43</v>
      </c>
      <c r="S48" s="279">
        <v>48</v>
      </c>
      <c r="T48" s="280">
        <v>117</v>
      </c>
      <c r="U48" s="280">
        <v>30</v>
      </c>
      <c r="V48" s="280">
        <v>0</v>
      </c>
      <c r="W48" s="280">
        <v>0</v>
      </c>
      <c r="X48" s="280">
        <v>40</v>
      </c>
      <c r="Y48" s="254">
        <f t="shared" si="22"/>
        <v>1088.6550689306416</v>
      </c>
      <c r="Z48" s="254">
        <f t="shared" si="23"/>
        <v>947573.79433102557</v>
      </c>
      <c r="AA48" s="254">
        <f t="shared" si="24"/>
        <v>2582345.2431779094</v>
      </c>
    </row>
    <row r="49" spans="3:27" x14ac:dyDescent="0.2">
      <c r="C49" s="68"/>
      <c r="D49" s="68"/>
      <c r="E49" s="68"/>
      <c r="F49" s="68"/>
      <c r="G49" s="68"/>
      <c r="H49" s="68">
        <v>44</v>
      </c>
      <c r="I49" s="279">
        <v>86.5</v>
      </c>
      <c r="J49" s="280">
        <v>0</v>
      </c>
      <c r="K49" s="280">
        <v>0</v>
      </c>
      <c r="L49" s="280">
        <v>0</v>
      </c>
      <c r="M49" s="280">
        <v>0</v>
      </c>
      <c r="N49" s="280">
        <v>139</v>
      </c>
      <c r="O49" s="254">
        <f t="shared" si="19"/>
        <v>348.02083333333331</v>
      </c>
      <c r="P49" s="254">
        <f t="shared" si="20"/>
        <v>577462.44909189083</v>
      </c>
      <c r="Q49" s="254">
        <f t="shared" si="21"/>
        <v>1459560.8885595996</v>
      </c>
      <c r="R49" s="68">
        <v>44</v>
      </c>
      <c r="S49" s="279">
        <v>48</v>
      </c>
      <c r="T49" s="280">
        <v>117</v>
      </c>
      <c r="U49" s="280">
        <v>30</v>
      </c>
      <c r="V49" s="280">
        <v>0</v>
      </c>
      <c r="W49" s="280">
        <v>0</v>
      </c>
      <c r="X49" s="280">
        <v>40</v>
      </c>
      <c r="Y49" s="254">
        <f t="shared" si="22"/>
        <v>1088.6550689306416</v>
      </c>
      <c r="Z49" s="254">
        <f t="shared" si="23"/>
        <v>947573.79433102557</v>
      </c>
      <c r="AA49" s="254">
        <f t="shared" si="24"/>
        <v>2582345.2431779094</v>
      </c>
    </row>
    <row r="50" spans="3:27" x14ac:dyDescent="0.2">
      <c r="C50" s="68"/>
      <c r="D50" s="68"/>
      <c r="E50" s="68"/>
      <c r="F50" s="68"/>
      <c r="G50" s="68"/>
      <c r="H50" s="68">
        <v>45</v>
      </c>
      <c r="I50" s="279">
        <v>86.5</v>
      </c>
      <c r="J50" s="280">
        <v>0</v>
      </c>
      <c r="K50" s="280">
        <v>0</v>
      </c>
      <c r="L50" s="280">
        <v>0</v>
      </c>
      <c r="M50" s="280">
        <v>0</v>
      </c>
      <c r="N50" s="280">
        <v>139</v>
      </c>
      <c r="O50" s="254">
        <f t="shared" si="19"/>
        <v>348.02083333333331</v>
      </c>
      <c r="P50" s="254">
        <f t="shared" si="20"/>
        <v>577462.44909189083</v>
      </c>
      <c r="Q50" s="254">
        <f t="shared" si="21"/>
        <v>1459560.8885595996</v>
      </c>
      <c r="R50" s="68">
        <v>45</v>
      </c>
      <c r="S50" s="279">
        <v>48</v>
      </c>
      <c r="T50" s="280">
        <v>117</v>
      </c>
      <c r="U50" s="280">
        <v>30</v>
      </c>
      <c r="V50" s="280">
        <v>0</v>
      </c>
      <c r="W50" s="280">
        <v>0</v>
      </c>
      <c r="X50" s="280">
        <v>40</v>
      </c>
      <c r="Y50" s="254">
        <f t="shared" si="22"/>
        <v>1088.6550689306416</v>
      </c>
      <c r="Z50" s="254">
        <f t="shared" si="23"/>
        <v>947573.79433102557</v>
      </c>
      <c r="AA50" s="254">
        <f t="shared" si="24"/>
        <v>2582345.2431779094</v>
      </c>
    </row>
    <row r="51" spans="3:27" x14ac:dyDescent="0.2">
      <c r="C51" s="68"/>
      <c r="D51" s="68"/>
      <c r="E51" s="68"/>
      <c r="F51" s="68"/>
      <c r="G51" s="68"/>
      <c r="H51" s="68">
        <v>46</v>
      </c>
      <c r="I51" s="279">
        <v>86.5</v>
      </c>
      <c r="J51" s="280">
        <v>0</v>
      </c>
      <c r="K51" s="280">
        <v>0</v>
      </c>
      <c r="L51" s="280">
        <v>0</v>
      </c>
      <c r="M51" s="280">
        <v>0</v>
      </c>
      <c r="N51" s="280">
        <v>139</v>
      </c>
      <c r="O51" s="254">
        <f t="shared" si="19"/>
        <v>348.02083333333331</v>
      </c>
      <c r="P51" s="254">
        <f t="shared" si="20"/>
        <v>577462.44909189083</v>
      </c>
      <c r="Q51" s="254">
        <f t="shared" si="21"/>
        <v>1459560.8885595996</v>
      </c>
      <c r="R51" s="68">
        <v>46</v>
      </c>
      <c r="S51" s="279">
        <v>48</v>
      </c>
      <c r="T51" s="280">
        <v>117</v>
      </c>
      <c r="U51" s="280">
        <v>30</v>
      </c>
      <c r="V51" s="280">
        <v>0</v>
      </c>
      <c r="W51" s="280">
        <v>0</v>
      </c>
      <c r="X51" s="280">
        <v>40</v>
      </c>
      <c r="Y51" s="254">
        <f t="shared" si="22"/>
        <v>1088.6550689306416</v>
      </c>
      <c r="Z51" s="254">
        <f t="shared" si="23"/>
        <v>947573.79433102557</v>
      </c>
      <c r="AA51" s="254">
        <f t="shared" si="24"/>
        <v>2582345.2431779094</v>
      </c>
    </row>
    <row r="52" spans="3:27" x14ac:dyDescent="0.2">
      <c r="C52" s="68"/>
      <c r="D52" s="68"/>
      <c r="E52" s="68"/>
      <c r="F52" s="68"/>
      <c r="G52" s="68"/>
      <c r="H52" s="68">
        <v>47</v>
      </c>
      <c r="I52" s="279">
        <v>86.5</v>
      </c>
      <c r="J52" s="280">
        <v>0</v>
      </c>
      <c r="K52" s="280">
        <v>0</v>
      </c>
      <c r="L52" s="280">
        <v>0</v>
      </c>
      <c r="M52" s="280">
        <v>0</v>
      </c>
      <c r="N52" s="280">
        <v>139</v>
      </c>
      <c r="O52" s="254">
        <f t="shared" si="19"/>
        <v>348.02083333333331</v>
      </c>
      <c r="P52" s="254">
        <f t="shared" si="20"/>
        <v>577462.44909189083</v>
      </c>
      <c r="Q52" s="254">
        <f t="shared" si="21"/>
        <v>1459560.8885595996</v>
      </c>
      <c r="R52" s="68">
        <v>47</v>
      </c>
      <c r="S52" s="279">
        <v>48</v>
      </c>
      <c r="T52" s="280">
        <v>117</v>
      </c>
      <c r="U52" s="280">
        <v>30</v>
      </c>
      <c r="V52" s="280">
        <v>0</v>
      </c>
      <c r="W52" s="280">
        <v>0</v>
      </c>
      <c r="X52" s="280">
        <v>40</v>
      </c>
      <c r="Y52" s="254">
        <f t="shared" si="22"/>
        <v>1088.6550689306416</v>
      </c>
      <c r="Z52" s="254">
        <f t="shared" si="23"/>
        <v>947573.79433102557</v>
      </c>
      <c r="AA52" s="254">
        <f t="shared" si="24"/>
        <v>2582345.2431779094</v>
      </c>
    </row>
    <row r="53" spans="3:27" x14ac:dyDescent="0.2">
      <c r="H53" s="68">
        <v>48</v>
      </c>
      <c r="I53" s="279">
        <v>86.5</v>
      </c>
      <c r="J53" s="280">
        <v>0</v>
      </c>
      <c r="K53" s="280">
        <v>0</v>
      </c>
      <c r="L53" s="280">
        <v>0</v>
      </c>
      <c r="M53" s="280">
        <v>0</v>
      </c>
      <c r="N53" s="280">
        <v>139</v>
      </c>
      <c r="O53" s="254">
        <f t="shared" si="19"/>
        <v>348.02083333333331</v>
      </c>
      <c r="P53" s="254">
        <f t="shared" si="20"/>
        <v>577462.44909189083</v>
      </c>
      <c r="Q53" s="254">
        <f t="shared" si="21"/>
        <v>1459560.8885595996</v>
      </c>
      <c r="R53" s="68">
        <v>48</v>
      </c>
      <c r="S53" s="279">
        <v>48</v>
      </c>
      <c r="T53" s="280">
        <v>117</v>
      </c>
      <c r="U53" s="280">
        <v>30</v>
      </c>
      <c r="V53" s="280">
        <v>0</v>
      </c>
      <c r="W53" s="280">
        <v>0</v>
      </c>
      <c r="X53" s="280">
        <v>40</v>
      </c>
      <c r="Y53" s="254">
        <f t="shared" si="22"/>
        <v>1088.6550689306416</v>
      </c>
      <c r="Z53" s="254">
        <f t="shared" si="23"/>
        <v>947573.79433102557</v>
      </c>
      <c r="AA53" s="254">
        <f t="shared" si="24"/>
        <v>2582345.2431779094</v>
      </c>
    </row>
    <row r="54" spans="3:27" x14ac:dyDescent="0.2">
      <c r="H54" s="68">
        <v>49</v>
      </c>
      <c r="I54" s="279">
        <v>86.5</v>
      </c>
      <c r="J54" s="280">
        <v>0</v>
      </c>
      <c r="K54" s="280">
        <v>0</v>
      </c>
      <c r="L54" s="280">
        <v>0</v>
      </c>
      <c r="M54" s="280">
        <v>0</v>
      </c>
      <c r="N54" s="280">
        <v>139</v>
      </c>
      <c r="O54" s="254">
        <f t="shared" si="19"/>
        <v>348.02083333333331</v>
      </c>
      <c r="P54" s="254">
        <f t="shared" si="20"/>
        <v>577462.44909189083</v>
      </c>
      <c r="Q54" s="254">
        <f t="shared" si="21"/>
        <v>1459560.8885595996</v>
      </c>
      <c r="R54" s="68">
        <v>49</v>
      </c>
      <c r="S54" s="279">
        <v>48</v>
      </c>
      <c r="T54" s="280">
        <v>117</v>
      </c>
      <c r="U54" s="280">
        <v>30</v>
      </c>
      <c r="V54" s="280">
        <v>0</v>
      </c>
      <c r="W54" s="280">
        <v>0</v>
      </c>
      <c r="X54" s="280">
        <v>40</v>
      </c>
      <c r="Y54" s="254">
        <f t="shared" si="22"/>
        <v>1088.6550689306416</v>
      </c>
      <c r="Z54" s="254">
        <f t="shared" si="23"/>
        <v>947573.79433102557</v>
      </c>
      <c r="AA54" s="254">
        <f t="shared" si="24"/>
        <v>2582345.2431779094</v>
      </c>
    </row>
    <row r="55" spans="3:27" x14ac:dyDescent="0.2">
      <c r="H55" s="68">
        <v>50</v>
      </c>
      <c r="I55" s="279">
        <v>86.5</v>
      </c>
      <c r="J55" s="280">
        <v>0</v>
      </c>
      <c r="K55" s="280">
        <v>0</v>
      </c>
      <c r="L55" s="280">
        <v>0</v>
      </c>
      <c r="M55" s="280">
        <v>0</v>
      </c>
      <c r="N55" s="280">
        <v>139</v>
      </c>
      <c r="O55" s="254">
        <f t="shared" si="19"/>
        <v>348.02083333333331</v>
      </c>
      <c r="P55" s="254">
        <f t="shared" si="20"/>
        <v>577462.44909189083</v>
      </c>
      <c r="Q55" s="254">
        <f t="shared" si="21"/>
        <v>1459560.8885595996</v>
      </c>
      <c r="R55" s="68">
        <v>50</v>
      </c>
      <c r="S55" s="279">
        <v>48</v>
      </c>
      <c r="T55" s="280">
        <v>117</v>
      </c>
      <c r="U55" s="280">
        <v>30</v>
      </c>
      <c r="V55" s="280">
        <v>0</v>
      </c>
      <c r="W55" s="280">
        <v>0</v>
      </c>
      <c r="X55" s="280">
        <v>40</v>
      </c>
      <c r="Y55" s="254">
        <f t="shared" si="22"/>
        <v>1088.6550689306416</v>
      </c>
      <c r="Z55" s="254">
        <f t="shared" si="23"/>
        <v>947573.79433102557</v>
      </c>
      <c r="AA55" s="254">
        <f t="shared" si="24"/>
        <v>2582345.2431779094</v>
      </c>
    </row>
  </sheetData>
  <phoneticPr fontId="32" type="noConversion"/>
  <pageMargins left="0.5" right="0.5" top="1" bottom="1" header="0.5" footer="0.5"/>
  <pageSetup orientation="portrait" horizontalDpi="4294967292" verticalDpi="4294967292" r:id="rId1"/>
  <headerFooter>
    <oddHeader>&amp;C&amp;"-,Bold"Benefits: Environmental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view="pageLayout" zoomScale="89" workbookViewId="0"/>
  </sheetViews>
  <sheetFormatPr defaultColWidth="10.875" defaultRowHeight="15" outlineLevelRow="1" x14ac:dyDescent="0.25"/>
  <cols>
    <col min="1" max="1" width="39.125" style="41" customWidth="1"/>
    <col min="2" max="2" width="22.875" style="41" bestFit="1" customWidth="1"/>
    <col min="3" max="3" width="4" style="1" customWidth="1"/>
    <col min="4" max="4" width="44" style="1" bestFit="1" customWidth="1"/>
    <col min="5" max="5" width="11.125" style="1" customWidth="1"/>
    <col min="6" max="6" width="11.5" style="41" bestFit="1" customWidth="1"/>
    <col min="7" max="7" width="12.5" style="110" bestFit="1" customWidth="1"/>
    <col min="8" max="8" width="11.5" style="110" bestFit="1" customWidth="1"/>
    <col min="9" max="9" width="44" style="1" bestFit="1" customWidth="1"/>
    <col min="10" max="10" width="11" style="1" customWidth="1"/>
    <col min="11" max="11" width="11" style="41" customWidth="1"/>
    <col min="12" max="12" width="11" style="110" customWidth="1"/>
    <col min="13" max="13" width="11.625" style="110" customWidth="1"/>
    <col min="14" max="16384" width="10.875" style="41"/>
  </cols>
  <sheetData>
    <row r="1" spans="1:13" s="3" customFormat="1" ht="15.75" x14ac:dyDescent="0.25">
      <c r="A1" s="19" t="s">
        <v>124</v>
      </c>
      <c r="B1" s="19" t="s">
        <v>243</v>
      </c>
      <c r="C1" s="19"/>
      <c r="D1" s="19" t="s">
        <v>124</v>
      </c>
      <c r="E1" s="19" t="s">
        <v>208</v>
      </c>
      <c r="G1" s="146"/>
      <c r="H1" s="146"/>
      <c r="I1" s="19" t="s">
        <v>124</v>
      </c>
      <c r="J1" s="19" t="s">
        <v>220</v>
      </c>
      <c r="L1" s="146"/>
      <c r="M1" s="146"/>
    </row>
    <row r="2" spans="1:13" x14ac:dyDescent="0.25">
      <c r="B2" s="157"/>
      <c r="D2" s="41" t="s">
        <v>55</v>
      </c>
      <c r="E2" s="153">
        <f>Benefits_FloodRisk!B2</f>
        <v>3.3750000000000002E-2</v>
      </c>
      <c r="G2" s="149"/>
      <c r="I2" s="41" t="s">
        <v>55</v>
      </c>
      <c r="J2" s="153">
        <f>Benefits_FloodRisk!B2</f>
        <v>3.3750000000000002E-2</v>
      </c>
    </row>
    <row r="3" spans="1:13" x14ac:dyDescent="0.25">
      <c r="B3" s="157"/>
      <c r="D3" s="41" t="s">
        <v>165</v>
      </c>
      <c r="E3" s="206">
        <f>Project_Assumptions!C6</f>
        <v>30</v>
      </c>
      <c r="G3" s="149"/>
      <c r="I3" s="41" t="s">
        <v>165</v>
      </c>
      <c r="J3" s="206">
        <f>E3</f>
        <v>30</v>
      </c>
    </row>
    <row r="4" spans="1:13" x14ac:dyDescent="0.25">
      <c r="A4" s="39"/>
      <c r="B4" s="157"/>
      <c r="D4" s="39"/>
      <c r="E4" s="157"/>
      <c r="G4" s="149"/>
      <c r="I4" s="39"/>
      <c r="J4" s="157"/>
    </row>
    <row r="5" spans="1:13" x14ac:dyDescent="0.25">
      <c r="E5" s="109" t="s">
        <v>134</v>
      </c>
      <c r="F5" s="110"/>
      <c r="G5" s="78" t="s">
        <v>135</v>
      </c>
      <c r="J5" s="109" t="s">
        <v>134</v>
      </c>
      <c r="K5" s="110"/>
      <c r="L5" s="78" t="s">
        <v>135</v>
      </c>
    </row>
    <row r="6" spans="1:13" x14ac:dyDescent="0.25">
      <c r="A6" s="47"/>
      <c r="B6" s="47"/>
      <c r="C6" s="47"/>
      <c r="D6" s="47" t="s">
        <v>137</v>
      </c>
      <c r="E6" s="271">
        <v>-0.1</v>
      </c>
      <c r="F6" s="145"/>
      <c r="G6" s="272">
        <v>0.3</v>
      </c>
      <c r="I6" s="47" t="s">
        <v>137</v>
      </c>
      <c r="J6" s="147">
        <f>E6</f>
        <v>-0.1</v>
      </c>
      <c r="K6" s="145"/>
      <c r="L6" s="148">
        <f>G6</f>
        <v>0.3</v>
      </c>
    </row>
    <row r="7" spans="1:13" outlineLevel="1" x14ac:dyDescent="0.25">
      <c r="D7" s="41"/>
      <c r="E7" s="41"/>
      <c r="F7" s="110"/>
      <c r="I7" s="41"/>
      <c r="J7" s="41"/>
      <c r="K7" s="110"/>
    </row>
    <row r="8" spans="1:13" s="39" customFormat="1" outlineLevel="1" x14ac:dyDescent="0.25">
      <c r="A8" s="39" t="s">
        <v>28</v>
      </c>
      <c r="B8" s="39" t="s">
        <v>237</v>
      </c>
      <c r="C8" s="2"/>
      <c r="D8" s="39" t="s">
        <v>28</v>
      </c>
      <c r="I8" s="39" t="s">
        <v>28</v>
      </c>
      <c r="L8" s="128"/>
    </row>
    <row r="9" spans="1:13" outlineLevel="1" x14ac:dyDescent="0.25">
      <c r="A9" s="40" t="s">
        <v>29</v>
      </c>
      <c r="B9" s="273">
        <v>1000</v>
      </c>
      <c r="C9" s="45"/>
      <c r="D9" s="40" t="s">
        <v>29</v>
      </c>
      <c r="E9" s="276"/>
      <c r="F9" s="273">
        <v>1000</v>
      </c>
      <c r="G9" s="276"/>
      <c r="I9" s="40" t="s">
        <v>29</v>
      </c>
      <c r="J9" s="276"/>
      <c r="K9" s="273">
        <v>1000</v>
      </c>
      <c r="L9" s="276"/>
    </row>
    <row r="10" spans="1:13" outlineLevel="1" x14ac:dyDescent="0.25">
      <c r="A10" s="42" t="s">
        <v>30</v>
      </c>
      <c r="B10" s="274">
        <v>0</v>
      </c>
      <c r="C10" s="45"/>
      <c r="D10" s="42" t="s">
        <v>30</v>
      </c>
      <c r="E10" s="277"/>
      <c r="F10" s="274">
        <v>0</v>
      </c>
      <c r="G10" s="277"/>
      <c r="I10" s="42" t="s">
        <v>30</v>
      </c>
      <c r="J10" s="277"/>
      <c r="K10" s="274">
        <v>0</v>
      </c>
      <c r="L10" s="277"/>
    </row>
    <row r="11" spans="1:13" s="39" customFormat="1" x14ac:dyDescent="0.25">
      <c r="A11" s="39" t="s">
        <v>31</v>
      </c>
      <c r="B11" s="122">
        <f>SUM(B9:B10)</f>
        <v>1000</v>
      </c>
      <c r="C11" s="125"/>
      <c r="D11" s="39" t="s">
        <v>31</v>
      </c>
      <c r="E11" s="122"/>
      <c r="F11" s="122">
        <f>SUM(F9:F10)</f>
        <v>1000</v>
      </c>
      <c r="G11" s="122"/>
      <c r="I11" s="39" t="s">
        <v>31</v>
      </c>
      <c r="J11" s="122"/>
      <c r="K11" s="122">
        <f>SUM(K9:K10)</f>
        <v>1000</v>
      </c>
      <c r="L11" s="122"/>
    </row>
    <row r="12" spans="1:13" outlineLevel="1" x14ac:dyDescent="0.25">
      <c r="B12" s="44"/>
      <c r="D12" s="41"/>
      <c r="E12" s="44"/>
      <c r="F12" s="44"/>
      <c r="G12" s="44"/>
      <c r="I12" s="41"/>
      <c r="J12" s="41"/>
      <c r="L12" s="41"/>
    </row>
    <row r="13" spans="1:13" s="39" customFormat="1" outlineLevel="1" x14ac:dyDescent="0.25">
      <c r="A13" s="39" t="s">
        <v>32</v>
      </c>
      <c r="B13" s="43" t="s">
        <v>238</v>
      </c>
      <c r="C13" s="2"/>
      <c r="D13" s="39" t="s">
        <v>32</v>
      </c>
      <c r="E13" s="43"/>
      <c r="F13" s="43"/>
      <c r="G13" s="43"/>
      <c r="I13" s="39" t="s">
        <v>32</v>
      </c>
    </row>
    <row r="14" spans="1:13" outlineLevel="1" x14ac:dyDescent="0.25">
      <c r="A14" s="40" t="s">
        <v>33</v>
      </c>
      <c r="B14" s="273">
        <v>0</v>
      </c>
      <c r="C14" s="45"/>
      <c r="D14" s="40" t="s">
        <v>33</v>
      </c>
      <c r="E14" s="276"/>
      <c r="F14" s="273">
        <v>0</v>
      </c>
      <c r="G14" s="276"/>
      <c r="I14" s="40" t="s">
        <v>33</v>
      </c>
      <c r="J14" s="276"/>
      <c r="K14" s="273">
        <v>0</v>
      </c>
      <c r="L14" s="276"/>
    </row>
    <row r="15" spans="1:13" outlineLevel="1" x14ac:dyDescent="0.25">
      <c r="A15" s="1" t="s">
        <v>34</v>
      </c>
      <c r="B15" s="275">
        <v>0</v>
      </c>
      <c r="C15" s="45"/>
      <c r="D15" s="1" t="s">
        <v>34</v>
      </c>
      <c r="E15" s="278"/>
      <c r="F15" s="275">
        <v>0</v>
      </c>
      <c r="G15" s="278"/>
      <c r="I15" s="1" t="s">
        <v>34</v>
      </c>
      <c r="J15" s="278"/>
      <c r="K15" s="275">
        <v>0</v>
      </c>
      <c r="L15" s="278"/>
    </row>
    <row r="16" spans="1:13" outlineLevel="1" x14ac:dyDescent="0.25">
      <c r="A16" s="1" t="s">
        <v>35</v>
      </c>
      <c r="B16" s="275">
        <v>1500000</v>
      </c>
      <c r="C16" s="45"/>
      <c r="D16" s="1" t="s">
        <v>35</v>
      </c>
      <c r="E16" s="278"/>
      <c r="F16" s="275">
        <v>1500000</v>
      </c>
      <c r="G16" s="278"/>
      <c r="I16" s="1" t="s">
        <v>35</v>
      </c>
      <c r="J16" s="278"/>
      <c r="K16" s="275">
        <v>0</v>
      </c>
      <c r="L16" s="278"/>
    </row>
    <row r="17" spans="1:12" outlineLevel="1" x14ac:dyDescent="0.25">
      <c r="A17" s="42" t="s">
        <v>36</v>
      </c>
      <c r="B17" s="274">
        <v>2100000</v>
      </c>
      <c r="C17" s="45"/>
      <c r="D17" s="42" t="s">
        <v>36</v>
      </c>
      <c r="E17" s="277"/>
      <c r="F17" s="274">
        <v>2100000</v>
      </c>
      <c r="G17" s="277"/>
      <c r="I17" s="42" t="s">
        <v>36</v>
      </c>
      <c r="J17" s="277"/>
      <c r="K17" s="274">
        <v>0</v>
      </c>
      <c r="L17" s="277"/>
    </row>
    <row r="18" spans="1:12" s="39" customFormat="1" x14ac:dyDescent="0.25">
      <c r="A18" s="39" t="s">
        <v>37</v>
      </c>
      <c r="B18" s="122">
        <f>SUM(B14:B17)</f>
        <v>3600000</v>
      </c>
      <c r="C18" s="125"/>
      <c r="D18" s="39" t="s">
        <v>37</v>
      </c>
      <c r="E18" s="122"/>
      <c r="F18" s="122">
        <f>SUM(F14:F17)</f>
        <v>3600000</v>
      </c>
      <c r="G18" s="122"/>
      <c r="I18" s="39" t="s">
        <v>37</v>
      </c>
      <c r="J18" s="122"/>
      <c r="K18" s="122">
        <f>SUM(K14:K17)</f>
        <v>0</v>
      </c>
      <c r="L18" s="122"/>
    </row>
    <row r="19" spans="1:12" hidden="1" outlineLevel="1" x14ac:dyDescent="0.25">
      <c r="B19" s="44"/>
      <c r="D19" s="41"/>
      <c r="E19" s="44"/>
      <c r="F19" s="44"/>
      <c r="G19" s="44"/>
      <c r="I19" s="41"/>
      <c r="J19" s="41"/>
      <c r="L19" s="41"/>
    </row>
    <row r="20" spans="1:12" s="39" customFormat="1" hidden="1" outlineLevel="1" x14ac:dyDescent="0.25">
      <c r="A20" s="39" t="s">
        <v>38</v>
      </c>
      <c r="B20" s="43"/>
      <c r="C20" s="2"/>
      <c r="D20" s="39" t="s">
        <v>38</v>
      </c>
      <c r="E20" s="43"/>
      <c r="F20" s="43"/>
      <c r="G20" s="43"/>
      <c r="I20" s="39" t="s">
        <v>38</v>
      </c>
    </row>
    <row r="21" spans="1:12" hidden="1" outlineLevel="1" x14ac:dyDescent="0.25">
      <c r="A21" s="40" t="s">
        <v>39</v>
      </c>
      <c r="B21" s="273">
        <v>0</v>
      </c>
      <c r="C21" s="45"/>
      <c r="D21" s="40" t="s">
        <v>39</v>
      </c>
      <c r="E21" s="276"/>
      <c r="F21" s="273">
        <v>0</v>
      </c>
      <c r="G21" s="276"/>
      <c r="I21" s="40" t="s">
        <v>39</v>
      </c>
      <c r="J21" s="276"/>
      <c r="K21" s="273">
        <v>0</v>
      </c>
      <c r="L21" s="276"/>
    </row>
    <row r="22" spans="1:12" hidden="1" outlineLevel="1" x14ac:dyDescent="0.25">
      <c r="A22" s="42" t="s">
        <v>128</v>
      </c>
      <c r="B22" s="274">
        <v>0</v>
      </c>
      <c r="C22" s="45"/>
      <c r="D22" s="42" t="s">
        <v>128</v>
      </c>
      <c r="E22" s="277"/>
      <c r="F22" s="274">
        <v>0</v>
      </c>
      <c r="G22" s="277"/>
      <c r="I22" s="42" t="s">
        <v>128</v>
      </c>
      <c r="J22" s="277"/>
      <c r="K22" s="274">
        <v>0</v>
      </c>
      <c r="L22" s="277"/>
    </row>
    <row r="23" spans="1:12" s="39" customFormat="1" collapsed="1" x14ac:dyDescent="0.25">
      <c r="A23" s="39" t="s">
        <v>40</v>
      </c>
      <c r="B23" s="122">
        <f>SUM(B21:B22)</f>
        <v>0</v>
      </c>
      <c r="C23" s="125"/>
      <c r="D23" s="39" t="s">
        <v>40</v>
      </c>
      <c r="E23" s="122"/>
      <c r="F23" s="122">
        <f>SUM(F21:F22)</f>
        <v>0</v>
      </c>
      <c r="G23" s="122"/>
      <c r="I23" s="39" t="s">
        <v>40</v>
      </c>
      <c r="J23" s="122"/>
      <c r="K23" s="122">
        <f>SUM(K21:K22)</f>
        <v>0</v>
      </c>
      <c r="L23" s="122"/>
    </row>
    <row r="24" spans="1:12" hidden="1" outlineLevel="1" x14ac:dyDescent="0.25">
      <c r="B24" s="44"/>
      <c r="D24" s="41"/>
      <c r="E24" s="44"/>
      <c r="F24" s="44"/>
      <c r="G24" s="44"/>
      <c r="I24" s="41"/>
      <c r="J24" s="41"/>
      <c r="L24" s="41"/>
    </row>
    <row r="25" spans="1:12" s="39" customFormat="1" hidden="1" outlineLevel="1" x14ac:dyDescent="0.25">
      <c r="A25" s="39" t="s">
        <v>41</v>
      </c>
      <c r="B25" s="43"/>
      <c r="C25" s="2"/>
      <c r="D25" s="39" t="s">
        <v>41</v>
      </c>
      <c r="E25" s="43"/>
      <c r="F25" s="43"/>
      <c r="G25" s="43"/>
      <c r="I25" s="39" t="s">
        <v>41</v>
      </c>
    </row>
    <row r="26" spans="1:12" hidden="1" outlineLevel="1" x14ac:dyDescent="0.25">
      <c r="A26" s="40" t="s">
        <v>42</v>
      </c>
      <c r="B26" s="273">
        <v>0</v>
      </c>
      <c r="C26" s="45"/>
      <c r="D26" s="40" t="s">
        <v>42</v>
      </c>
      <c r="E26" s="276"/>
      <c r="F26" s="273">
        <v>0</v>
      </c>
      <c r="G26" s="276"/>
      <c r="I26" s="40" t="s">
        <v>42</v>
      </c>
      <c r="J26" s="276"/>
      <c r="K26" s="273">
        <v>0</v>
      </c>
      <c r="L26" s="276"/>
    </row>
    <row r="27" spans="1:12" hidden="1" outlineLevel="1" x14ac:dyDescent="0.25">
      <c r="A27" s="42" t="s">
        <v>43</v>
      </c>
      <c r="B27" s="274">
        <v>0</v>
      </c>
      <c r="C27" s="45"/>
      <c r="D27" s="42" t="s">
        <v>43</v>
      </c>
      <c r="E27" s="277"/>
      <c r="F27" s="274">
        <v>0</v>
      </c>
      <c r="G27" s="277"/>
      <c r="I27" s="42" t="s">
        <v>43</v>
      </c>
      <c r="J27" s="277"/>
      <c r="K27" s="274">
        <v>0</v>
      </c>
      <c r="L27" s="277"/>
    </row>
    <row r="28" spans="1:12" s="39" customFormat="1" collapsed="1" x14ac:dyDescent="0.25">
      <c r="A28" s="39" t="s">
        <v>44</v>
      </c>
      <c r="B28" s="122">
        <f>SUM(B26:B27)</f>
        <v>0</v>
      </c>
      <c r="C28" s="125"/>
      <c r="D28" s="39" t="s">
        <v>44</v>
      </c>
      <c r="E28" s="122"/>
      <c r="F28" s="122">
        <f>SUM(F26:F27)</f>
        <v>0</v>
      </c>
      <c r="G28" s="122"/>
      <c r="I28" s="39" t="s">
        <v>44</v>
      </c>
      <c r="J28" s="122"/>
      <c r="K28" s="122">
        <f>SUM(K26:K27)</f>
        <v>0</v>
      </c>
      <c r="L28" s="122"/>
    </row>
    <row r="29" spans="1:12" outlineLevel="1" x14ac:dyDescent="0.25">
      <c r="B29" s="44"/>
      <c r="D29" s="41"/>
      <c r="E29" s="44"/>
      <c r="F29" s="44"/>
      <c r="G29" s="44"/>
      <c r="I29" s="41"/>
      <c r="J29" s="123"/>
      <c r="K29" s="123"/>
      <c r="L29" s="123"/>
    </row>
    <row r="30" spans="1:12" s="39" customFormat="1" outlineLevel="1" x14ac:dyDescent="0.25">
      <c r="A30" s="39" t="s">
        <v>45</v>
      </c>
      <c r="B30" s="43" t="s">
        <v>237</v>
      </c>
      <c r="C30" s="2"/>
      <c r="D30" s="39" t="s">
        <v>45</v>
      </c>
      <c r="E30" s="43"/>
      <c r="F30" s="43"/>
      <c r="G30" s="43"/>
      <c r="I30" s="39" t="s">
        <v>45</v>
      </c>
    </row>
    <row r="31" spans="1:12" outlineLevel="1" x14ac:dyDescent="0.25">
      <c r="A31" s="40" t="s">
        <v>129</v>
      </c>
      <c r="B31" s="273">
        <v>20000</v>
      </c>
      <c r="C31" s="45"/>
      <c r="D31" s="40" t="s">
        <v>129</v>
      </c>
      <c r="E31" s="276"/>
      <c r="F31" s="273">
        <v>20000</v>
      </c>
      <c r="G31" s="276"/>
      <c r="I31" s="40" t="s">
        <v>129</v>
      </c>
      <c r="J31" s="276"/>
      <c r="K31" s="273">
        <v>20000</v>
      </c>
      <c r="L31" s="276"/>
    </row>
    <row r="32" spans="1:12" outlineLevel="1" x14ac:dyDescent="0.25">
      <c r="A32" s="1" t="s">
        <v>46</v>
      </c>
      <c r="B32" s="275">
        <v>0</v>
      </c>
      <c r="C32" s="45"/>
      <c r="D32" s="1" t="s">
        <v>46</v>
      </c>
      <c r="E32" s="278"/>
      <c r="F32" s="275">
        <v>0</v>
      </c>
      <c r="G32" s="278"/>
      <c r="I32" s="1" t="s">
        <v>46</v>
      </c>
      <c r="J32" s="278"/>
      <c r="K32" s="275">
        <v>0</v>
      </c>
      <c r="L32" s="278"/>
    </row>
    <row r="33" spans="1:13" outlineLevel="1" x14ac:dyDescent="0.25">
      <c r="A33" s="1" t="s">
        <v>47</v>
      </c>
      <c r="B33" s="275">
        <v>2000</v>
      </c>
      <c r="C33" s="45"/>
      <c r="D33" s="1" t="s">
        <v>47</v>
      </c>
      <c r="E33" s="278"/>
      <c r="F33" s="275">
        <v>2000</v>
      </c>
      <c r="G33" s="278"/>
      <c r="I33" s="1" t="s">
        <v>47</v>
      </c>
      <c r="J33" s="278"/>
      <c r="K33" s="275">
        <v>2000</v>
      </c>
      <c r="L33" s="278"/>
    </row>
    <row r="34" spans="1:13" outlineLevel="1" x14ac:dyDescent="0.25">
      <c r="A34" s="1" t="s">
        <v>48</v>
      </c>
      <c r="B34" s="275">
        <v>2000</v>
      </c>
      <c r="C34" s="45"/>
      <c r="D34" s="1" t="s">
        <v>48</v>
      </c>
      <c r="E34" s="278"/>
      <c r="F34" s="275">
        <v>2000</v>
      </c>
      <c r="G34" s="278"/>
      <c r="I34" s="1" t="s">
        <v>48</v>
      </c>
      <c r="J34" s="278"/>
      <c r="K34" s="275">
        <v>2000</v>
      </c>
      <c r="L34" s="278"/>
    </row>
    <row r="35" spans="1:13" outlineLevel="1" x14ac:dyDescent="0.25">
      <c r="A35" s="42" t="s">
        <v>49</v>
      </c>
      <c r="B35" s="274">
        <v>6000</v>
      </c>
      <c r="C35" s="45"/>
      <c r="D35" s="42" t="s">
        <v>49</v>
      </c>
      <c r="E35" s="277"/>
      <c r="F35" s="274">
        <v>6000</v>
      </c>
      <c r="G35" s="277"/>
      <c r="I35" s="42" t="s">
        <v>49</v>
      </c>
      <c r="J35" s="277"/>
      <c r="K35" s="274">
        <v>6000</v>
      </c>
      <c r="L35" s="277"/>
    </row>
    <row r="36" spans="1:13" s="39" customFormat="1" x14ac:dyDescent="0.25">
      <c r="A36" s="39" t="s">
        <v>50</v>
      </c>
      <c r="B36" s="122">
        <f>SUM(B31:B35)</f>
        <v>30000</v>
      </c>
      <c r="C36" s="125"/>
      <c r="D36" s="39" t="s">
        <v>50</v>
      </c>
      <c r="E36" s="122"/>
      <c r="F36" s="122">
        <f>SUM(F31:F35)</f>
        <v>30000</v>
      </c>
      <c r="G36" s="122"/>
      <c r="I36" s="39" t="s">
        <v>50</v>
      </c>
      <c r="J36" s="122"/>
      <c r="K36" s="122">
        <f>SUM(K31:K35)</f>
        <v>30000</v>
      </c>
      <c r="L36" s="122"/>
    </row>
    <row r="37" spans="1:13" outlineLevel="1" x14ac:dyDescent="0.25">
      <c r="B37" s="44"/>
      <c r="D37" s="41"/>
      <c r="E37" s="44"/>
      <c r="F37" s="44"/>
      <c r="G37" s="44"/>
      <c r="I37" s="41"/>
      <c r="J37" s="41"/>
      <c r="L37" s="41"/>
    </row>
    <row r="38" spans="1:13" s="39" customFormat="1" outlineLevel="1" x14ac:dyDescent="0.25">
      <c r="A38" s="39" t="s">
        <v>51</v>
      </c>
      <c r="B38" s="43" t="s">
        <v>237</v>
      </c>
      <c r="C38" s="2"/>
      <c r="D38" s="39" t="s">
        <v>51</v>
      </c>
      <c r="E38" s="43"/>
      <c r="F38" s="43"/>
      <c r="G38" s="43"/>
      <c r="I38" s="39" t="s">
        <v>51</v>
      </c>
    </row>
    <row r="39" spans="1:13" outlineLevel="1" x14ac:dyDescent="0.25">
      <c r="A39" s="40" t="s">
        <v>130</v>
      </c>
      <c r="B39" s="273">
        <v>0</v>
      </c>
      <c r="C39" s="45"/>
      <c r="D39" s="40" t="s">
        <v>130</v>
      </c>
      <c r="E39" s="276"/>
      <c r="F39" s="273">
        <v>0</v>
      </c>
      <c r="G39" s="276"/>
      <c r="I39" s="40" t="s">
        <v>130</v>
      </c>
      <c r="J39" s="276"/>
      <c r="K39" s="273">
        <v>0</v>
      </c>
      <c r="L39" s="276"/>
    </row>
    <row r="40" spans="1:13" outlineLevel="1" x14ac:dyDescent="0.25">
      <c r="A40" s="42" t="s">
        <v>52</v>
      </c>
      <c r="B40" s="274">
        <v>3000</v>
      </c>
      <c r="C40" s="45"/>
      <c r="D40" s="42" t="s">
        <v>52</v>
      </c>
      <c r="E40" s="277"/>
      <c r="F40" s="274">
        <v>3000</v>
      </c>
      <c r="G40" s="277"/>
      <c r="I40" s="42" t="s">
        <v>52</v>
      </c>
      <c r="J40" s="277"/>
      <c r="K40" s="274">
        <v>3000</v>
      </c>
      <c r="L40" s="277"/>
    </row>
    <row r="41" spans="1:13" s="39" customFormat="1" x14ac:dyDescent="0.25">
      <c r="A41" s="39" t="s">
        <v>53</v>
      </c>
      <c r="B41" s="122">
        <f>SUM(B39:B40)</f>
        <v>3000</v>
      </c>
      <c r="C41" s="125"/>
      <c r="D41" s="39" t="s">
        <v>53</v>
      </c>
      <c r="E41" s="122"/>
      <c r="F41" s="122">
        <f>SUM(F39:F40)</f>
        <v>3000</v>
      </c>
      <c r="G41" s="122"/>
      <c r="I41" s="39" t="s">
        <v>53</v>
      </c>
      <c r="J41" s="122"/>
      <c r="K41" s="122">
        <f>SUM(K39:K40)</f>
        <v>3000</v>
      </c>
      <c r="L41" s="122"/>
    </row>
    <row r="42" spans="1:13" x14ac:dyDescent="0.25">
      <c r="B42" s="44"/>
      <c r="C42" s="45"/>
      <c r="D42" s="41"/>
      <c r="E42" s="44"/>
      <c r="F42" s="44"/>
      <c r="G42" s="44"/>
      <c r="I42" s="41"/>
      <c r="J42" s="44"/>
      <c r="K42" s="44"/>
      <c r="L42" s="44"/>
    </row>
    <row r="43" spans="1:13" s="39" customFormat="1" x14ac:dyDescent="0.25">
      <c r="A43" s="46" t="s">
        <v>136</v>
      </c>
      <c r="B43" s="124">
        <f>B11+B18+B23+B28+B36+B41</f>
        <v>3634000</v>
      </c>
      <c r="C43" s="125"/>
      <c r="D43" s="46" t="s">
        <v>136</v>
      </c>
      <c r="E43" s="124">
        <f>F43*(1+E6)</f>
        <v>3270600</v>
      </c>
      <c r="F43" s="124">
        <f>F11+F18+F23+F28+F36+F41</f>
        <v>3634000</v>
      </c>
      <c r="G43" s="124">
        <f>F43*(1+G6)</f>
        <v>4724200</v>
      </c>
      <c r="I43" s="46" t="s">
        <v>136</v>
      </c>
      <c r="J43" s="124">
        <f>K43*(1+J6)</f>
        <v>30600</v>
      </c>
      <c r="K43" s="124">
        <f>K11+K18+K23+K28+K36+K41</f>
        <v>34000</v>
      </c>
      <c r="L43" s="124">
        <f>K43*(1+L6)</f>
        <v>44200</v>
      </c>
    </row>
    <row r="44" spans="1:13" x14ac:dyDescent="0.25">
      <c r="D44" s="41"/>
      <c r="E44" s="41"/>
      <c r="G44" s="41"/>
      <c r="I44" s="41"/>
      <c r="J44" s="41"/>
      <c r="L44" s="41"/>
    </row>
    <row r="45" spans="1:13" s="39" customFormat="1" x14ac:dyDescent="0.25">
      <c r="A45" s="240" t="s">
        <v>139</v>
      </c>
      <c r="B45" s="241"/>
      <c r="C45" s="2"/>
      <c r="D45" s="46" t="str">
        <f>CONCATENATE("Net Present Value: ",Project_Assumptions!$C$6," years, ", $E$2*100,"% discount rate")</f>
        <v>Net Present Value: 30 years, 3.375% discount rate</v>
      </c>
      <c r="E45" s="204">
        <f>IF(Project_Assumptions!$C10=0,Costs_O_and_M!E$43*Project_Assumptions!$C$6,E$43*((1-((1+Project_Assumptions!$C$10)^-(Project_Assumptions!$C$6)))/Project_Assumptions!$C$10))</f>
        <v>61106258.476313263</v>
      </c>
      <c r="F45" s="204">
        <f>IF(Project_Assumptions!$C10=0,Costs_O_and_M!F$43*Project_Assumptions!$C$6,F$43*((1-((1+Project_Assumptions!$C$10)^-(Project_Assumptions!$C$6)))/Project_Assumptions!$C$10))</f>
        <v>67895842.751459181</v>
      </c>
      <c r="G45" s="204">
        <f>IF(Project_Assumptions!$C10=0,Costs_O_and_M!G$43*Project_Assumptions!$C$6,G$43*((1-((1+Project_Assumptions!$C$10)^-(Project_Assumptions!$C$6)))/Project_Assumptions!$C$10))</f>
        <v>88264595.576896936</v>
      </c>
      <c r="I45" s="46" t="str">
        <f>CONCATENATE("Net Present Value: ",Project_Assumptions!$C$6," years, ", $E$2*100,"% discount rate")</f>
        <v>Net Present Value: 30 years, 3.375% discount rate</v>
      </c>
      <c r="J45" s="204">
        <f>IF(Project_Assumptions!$C10=0,Costs_O_and_M!J$43*Project_Assumptions!$C$6,J$43*((1-((1+Project_Assumptions!$C$10)^-(Project_Assumptions!$C$6)))/Project_Assumptions!$C$10))</f>
        <v>571715.13158906181</v>
      </c>
      <c r="K45" s="204">
        <f>IF(Project_Assumptions!$C10=0,Costs_O_and_M!K$43*Project_Assumptions!$C$6,K$43*((1-((1+Project_Assumptions!$C$10)^-(Project_Assumptions!$C$6)))/Project_Assumptions!$C$10))</f>
        <v>635239.0350989576</v>
      </c>
      <c r="L45" s="204">
        <f>IF(Project_Assumptions!$C10=0,Costs_O_and_M!L$43*Project_Assumptions!$C$6,L$43*((1-((1+Project_Assumptions!$C$10)^-(Project_Assumptions!$C$6)))/Project_Assumptions!$C$10))</f>
        <v>825810.74562864495</v>
      </c>
    </row>
    <row r="46" spans="1:13" x14ac:dyDescent="0.25">
      <c r="A46" s="144"/>
      <c r="F46" s="154"/>
      <c r="G46" s="155"/>
      <c r="H46" s="111"/>
      <c r="J46" s="111"/>
      <c r="K46" s="154"/>
      <c r="L46" s="156"/>
      <c r="M46" s="111"/>
    </row>
    <row r="47" spans="1:13" s="109" customFormat="1" x14ac:dyDescent="0.25">
      <c r="A47" s="368" t="s">
        <v>127</v>
      </c>
      <c r="C47" s="78"/>
      <c r="D47" s="78"/>
      <c r="E47" s="78"/>
      <c r="G47" s="110"/>
      <c r="H47" s="78"/>
      <c r="I47" s="78"/>
      <c r="J47" s="78"/>
      <c r="L47" s="110"/>
      <c r="M47" s="78"/>
    </row>
    <row r="48" spans="1:13" s="109" customFormat="1" x14ac:dyDescent="0.25">
      <c r="A48" s="368" t="s">
        <v>239</v>
      </c>
      <c r="C48" s="78"/>
      <c r="D48" s="78"/>
      <c r="E48" s="78"/>
      <c r="G48" s="110"/>
      <c r="H48" s="78"/>
      <c r="I48" s="78"/>
      <c r="J48" s="78"/>
      <c r="L48" s="110"/>
      <c r="M48" s="78"/>
    </row>
    <row r="49" spans="1:13" s="109" customFormat="1" x14ac:dyDescent="0.25">
      <c r="A49" s="368" t="s">
        <v>240</v>
      </c>
      <c r="C49" s="78"/>
      <c r="D49" s="78"/>
      <c r="E49" s="78"/>
      <c r="G49" s="110"/>
      <c r="H49" s="78"/>
      <c r="I49" s="78"/>
      <c r="J49" s="78"/>
      <c r="L49" s="110"/>
      <c r="M49" s="78"/>
    </row>
    <row r="50" spans="1:13" x14ac:dyDescent="0.25">
      <c r="A50" s="368" t="s">
        <v>241</v>
      </c>
      <c r="G50" s="77"/>
      <c r="H50" s="1"/>
      <c r="M50" s="1"/>
    </row>
    <row r="51" spans="1:13" x14ac:dyDescent="0.25">
      <c r="A51" s="368" t="s">
        <v>242</v>
      </c>
      <c r="F51" s="109"/>
      <c r="H51" s="78"/>
      <c r="M51" s="1"/>
    </row>
    <row r="52" spans="1:13" x14ac:dyDescent="0.25">
      <c r="F52" s="109"/>
      <c r="H52" s="78"/>
    </row>
    <row r="53" spans="1:13" x14ac:dyDescent="0.25">
      <c r="F53" s="109"/>
      <c r="H53" s="78"/>
    </row>
    <row r="54" spans="1:13" x14ac:dyDescent="0.25">
      <c r="F54" s="109"/>
      <c r="H54" s="78"/>
    </row>
    <row r="55" spans="1:13" x14ac:dyDescent="0.25">
      <c r="F55" s="109"/>
      <c r="H55" s="78"/>
    </row>
    <row r="56" spans="1:13" x14ac:dyDescent="0.25">
      <c r="F56" s="109"/>
      <c r="H56" s="78"/>
    </row>
    <row r="57" spans="1:13" x14ac:dyDescent="0.25">
      <c r="F57" s="109"/>
      <c r="H57" s="78"/>
    </row>
    <row r="58" spans="1:13" x14ac:dyDescent="0.25">
      <c r="F58" s="109"/>
      <c r="H58" s="78"/>
    </row>
    <row r="59" spans="1:13" x14ac:dyDescent="0.25">
      <c r="F59" s="109"/>
      <c r="H59" s="78"/>
    </row>
    <row r="60" spans="1:13" x14ac:dyDescent="0.25">
      <c r="F60" s="109"/>
      <c r="H60" s="78"/>
    </row>
    <row r="61" spans="1:13" x14ac:dyDescent="0.25">
      <c r="F61" s="109"/>
      <c r="H61" s="78"/>
    </row>
    <row r="62" spans="1:13" x14ac:dyDescent="0.25">
      <c r="F62" s="109"/>
      <c r="H62" s="78"/>
    </row>
    <row r="63" spans="1:13" x14ac:dyDescent="0.25">
      <c r="F63" s="109"/>
      <c r="H63" s="78"/>
    </row>
    <row r="64" spans="1:13" x14ac:dyDescent="0.25">
      <c r="F64" s="109"/>
      <c r="H64" s="78"/>
    </row>
    <row r="65" spans="6:8" x14ac:dyDescent="0.25">
      <c r="F65" s="109"/>
      <c r="H65" s="78"/>
    </row>
    <row r="66" spans="6:8" x14ac:dyDescent="0.25">
      <c r="F66" s="109"/>
      <c r="H66" s="78"/>
    </row>
    <row r="67" spans="6:8" x14ac:dyDescent="0.25">
      <c r="F67" s="109"/>
      <c r="H67" s="78"/>
    </row>
    <row r="68" spans="6:8" x14ac:dyDescent="0.25">
      <c r="F68" s="109"/>
      <c r="H68" s="78"/>
    </row>
    <row r="69" spans="6:8" x14ac:dyDescent="0.25">
      <c r="F69" s="109"/>
      <c r="H69" s="78"/>
    </row>
    <row r="70" spans="6:8" x14ac:dyDescent="0.25">
      <c r="F70" s="109"/>
      <c r="H70" s="78"/>
    </row>
    <row r="71" spans="6:8" x14ac:dyDescent="0.25">
      <c r="F71" s="109"/>
      <c r="H71" s="78"/>
    </row>
    <row r="72" spans="6:8" x14ac:dyDescent="0.25">
      <c r="F72" s="109"/>
      <c r="H72" s="78"/>
    </row>
    <row r="73" spans="6:8" x14ac:dyDescent="0.25">
      <c r="F73" s="109"/>
      <c r="H73" s="78"/>
    </row>
    <row r="74" spans="6:8" x14ac:dyDescent="0.25">
      <c r="F74" s="109"/>
      <c r="H74" s="78"/>
    </row>
    <row r="75" spans="6:8" x14ac:dyDescent="0.25">
      <c r="F75" s="109"/>
      <c r="H75" s="78"/>
    </row>
    <row r="76" spans="6:8" x14ac:dyDescent="0.25">
      <c r="F76" s="109"/>
      <c r="H76" s="78"/>
    </row>
    <row r="77" spans="6:8" x14ac:dyDescent="0.25">
      <c r="F77" s="109"/>
      <c r="H77" s="78"/>
    </row>
    <row r="78" spans="6:8" x14ac:dyDescent="0.25">
      <c r="F78" s="109"/>
      <c r="H78" s="78"/>
    </row>
    <row r="79" spans="6:8" x14ac:dyDescent="0.25">
      <c r="F79" s="109"/>
      <c r="H79" s="78"/>
    </row>
    <row r="80" spans="6:8" x14ac:dyDescent="0.25">
      <c r="F80" s="109"/>
      <c r="H80" s="78"/>
    </row>
    <row r="81" spans="6:8" x14ac:dyDescent="0.25">
      <c r="F81" s="109"/>
      <c r="H81" s="78"/>
    </row>
    <row r="82" spans="6:8" x14ac:dyDescent="0.25">
      <c r="F82" s="109"/>
      <c r="H82" s="78"/>
    </row>
    <row r="83" spans="6:8" x14ac:dyDescent="0.25">
      <c r="F83" s="109"/>
      <c r="H83" s="78"/>
    </row>
    <row r="84" spans="6:8" x14ac:dyDescent="0.25">
      <c r="F84" s="109"/>
      <c r="H84" s="78"/>
    </row>
    <row r="85" spans="6:8" x14ac:dyDescent="0.25">
      <c r="F85" s="109"/>
      <c r="H85" s="78"/>
    </row>
    <row r="86" spans="6:8" x14ac:dyDescent="0.25">
      <c r="F86" s="109"/>
      <c r="H86" s="78"/>
    </row>
    <row r="87" spans="6:8" x14ac:dyDescent="0.25">
      <c r="F87" s="109"/>
      <c r="H87" s="78"/>
    </row>
    <row r="88" spans="6:8" x14ac:dyDescent="0.25">
      <c r="F88" s="109"/>
      <c r="H88" s="78"/>
    </row>
    <row r="89" spans="6:8" x14ac:dyDescent="0.25">
      <c r="F89" s="109"/>
      <c r="H89" s="78"/>
    </row>
    <row r="90" spans="6:8" x14ac:dyDescent="0.25">
      <c r="F90" s="109"/>
      <c r="H90" s="78"/>
    </row>
    <row r="91" spans="6:8" x14ac:dyDescent="0.25">
      <c r="F91" s="109"/>
      <c r="H91" s="78"/>
    </row>
    <row r="92" spans="6:8" x14ac:dyDescent="0.25">
      <c r="F92" s="109"/>
      <c r="H92" s="78"/>
    </row>
    <row r="93" spans="6:8" x14ac:dyDescent="0.25">
      <c r="F93" s="109"/>
      <c r="H93" s="78"/>
    </row>
    <row r="94" spans="6:8" x14ac:dyDescent="0.25">
      <c r="F94" s="109"/>
      <c r="H94" s="78"/>
    </row>
    <row r="95" spans="6:8" x14ac:dyDescent="0.25">
      <c r="F95" s="109"/>
      <c r="H95" s="78"/>
    </row>
    <row r="96" spans="6:8" x14ac:dyDescent="0.25">
      <c r="F96" s="109"/>
      <c r="H96" s="78"/>
    </row>
    <row r="97" spans="6:8" x14ac:dyDescent="0.25">
      <c r="F97" s="109"/>
      <c r="H97" s="78"/>
    </row>
    <row r="98" spans="6:8" x14ac:dyDescent="0.25">
      <c r="H98" s="1"/>
    </row>
    <row r="99" spans="6:8" x14ac:dyDescent="0.25">
      <c r="H99" s="1"/>
    </row>
    <row r="100" spans="6:8" x14ac:dyDescent="0.25">
      <c r="H100" s="1"/>
    </row>
    <row r="101" spans="6:8" x14ac:dyDescent="0.25">
      <c r="H101" s="1"/>
    </row>
    <row r="102" spans="6:8" x14ac:dyDescent="0.25">
      <c r="H102" s="1"/>
    </row>
    <row r="103" spans="6:8" x14ac:dyDescent="0.25">
      <c r="H103" s="1"/>
    </row>
    <row r="104" spans="6:8" x14ac:dyDescent="0.25">
      <c r="H104" s="1"/>
    </row>
    <row r="105" spans="6:8" x14ac:dyDescent="0.25">
      <c r="H105" s="1"/>
    </row>
    <row r="106" spans="6:8" x14ac:dyDescent="0.25">
      <c r="H106" s="1"/>
    </row>
    <row r="107" spans="6:8" x14ac:dyDescent="0.25">
      <c r="H107" s="1"/>
    </row>
    <row r="108" spans="6:8" x14ac:dyDescent="0.25">
      <c r="H108" s="1"/>
    </row>
    <row r="109" spans="6:8" x14ac:dyDescent="0.25">
      <c r="H109" s="1"/>
    </row>
    <row r="110" spans="6:8" x14ac:dyDescent="0.25">
      <c r="H110" s="1"/>
    </row>
    <row r="111" spans="6:8" x14ac:dyDescent="0.25">
      <c r="H111" s="1"/>
    </row>
    <row r="112" spans="6:8" x14ac:dyDescent="0.25">
      <c r="H112" s="1"/>
    </row>
    <row r="113" spans="8:8" x14ac:dyDescent="0.25">
      <c r="H113" s="1"/>
    </row>
    <row r="114" spans="8:8" x14ac:dyDescent="0.25">
      <c r="H114" s="1"/>
    </row>
  </sheetData>
  <phoneticPr fontId="32" type="noConversion"/>
  <dataValidations count="1">
    <dataValidation allowBlank="1" showInputMessage="1" showErrorMessage="1" promptTitle="&lt;Click to Select Discount Rate&gt;" sqref="E2:E4 J2:J4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(Body),Bold"&amp;14O and M Cost Projections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view="pageLayout" zoomScale="75" zoomScaleNormal="75" zoomScalePageLayoutView="75" workbookViewId="0"/>
  </sheetViews>
  <sheetFormatPr defaultColWidth="11" defaultRowHeight="15.75" x14ac:dyDescent="0.25"/>
  <cols>
    <col min="1" max="1" width="33.125" bestFit="1" customWidth="1"/>
    <col min="2" max="6" width="11.375" customWidth="1"/>
    <col min="7" max="7" width="31" style="17" bestFit="1" customWidth="1"/>
    <col min="8" max="12" width="11.375" style="17" customWidth="1"/>
    <col min="13" max="13" width="31" style="17" customWidth="1"/>
    <col min="14" max="14" width="11.375" style="17" customWidth="1"/>
    <col min="15" max="18" width="11.375" customWidth="1"/>
    <col min="19" max="19" width="31" style="17" customWidth="1"/>
    <col min="20" max="20" width="11.375" style="17" customWidth="1"/>
    <col min="21" max="24" width="11.375" customWidth="1"/>
  </cols>
  <sheetData>
    <row r="1" spans="1:24" s="74" customFormat="1" x14ac:dyDescent="0.25">
      <c r="A1" s="74" t="str">
        <f>Alternatives_Assumptions!C1</f>
        <v>No Action</v>
      </c>
      <c r="G1" s="74" t="str">
        <f>Project_Assumptions!$B$15</f>
        <v>North</v>
      </c>
      <c r="M1" s="74" t="str">
        <f>Project_Assumptions!B16</f>
        <v>Middle</v>
      </c>
      <c r="S1" s="74" t="str">
        <f>Project_Assumptions!B17</f>
        <v>South</v>
      </c>
    </row>
    <row r="2" spans="1:24" s="77" customFormat="1" ht="15" x14ac:dyDescent="0.25">
      <c r="A2" s="86"/>
    </row>
    <row r="3" spans="1:24" s="77" customFormat="1" ht="15" x14ac:dyDescent="0.25">
      <c r="A3" s="86"/>
      <c r="B3" s="108" t="s">
        <v>122</v>
      </c>
      <c r="C3" s="87"/>
      <c r="D3" s="86"/>
      <c r="E3" s="86"/>
      <c r="H3" s="108" t="s">
        <v>122</v>
      </c>
      <c r="N3" s="108" t="s">
        <v>122</v>
      </c>
      <c r="T3" s="108" t="s">
        <v>122</v>
      </c>
    </row>
    <row r="4" spans="1:24" s="85" customFormat="1" ht="15" x14ac:dyDescent="0.25">
      <c r="A4" s="102" t="s">
        <v>119</v>
      </c>
      <c r="B4" s="106" t="s">
        <v>120</v>
      </c>
      <c r="C4" s="107" t="s">
        <v>121</v>
      </c>
      <c r="D4" s="107" t="s">
        <v>8</v>
      </c>
      <c r="E4" s="107" t="s">
        <v>6</v>
      </c>
      <c r="F4" s="107" t="s">
        <v>7</v>
      </c>
      <c r="G4" s="102" t="s">
        <v>119</v>
      </c>
      <c r="H4" s="106" t="s">
        <v>120</v>
      </c>
      <c r="I4" s="107" t="s">
        <v>121</v>
      </c>
      <c r="J4" s="107" t="s">
        <v>8</v>
      </c>
      <c r="K4" s="107" t="s">
        <v>6</v>
      </c>
      <c r="L4" s="107" t="s">
        <v>7</v>
      </c>
      <c r="M4" s="102" t="s">
        <v>119</v>
      </c>
      <c r="N4" s="106" t="s">
        <v>120</v>
      </c>
      <c r="O4" s="107" t="s">
        <v>121</v>
      </c>
      <c r="P4" s="107" t="s">
        <v>8</v>
      </c>
      <c r="Q4" s="107" t="s">
        <v>6</v>
      </c>
      <c r="R4" s="107" t="s">
        <v>7</v>
      </c>
      <c r="S4" s="102" t="s">
        <v>119</v>
      </c>
      <c r="T4" s="106" t="s">
        <v>120</v>
      </c>
      <c r="U4" s="107" t="s">
        <v>121</v>
      </c>
      <c r="V4" s="107" t="s">
        <v>8</v>
      </c>
      <c r="W4" s="107" t="s">
        <v>6</v>
      </c>
      <c r="X4" s="107" t="s">
        <v>7</v>
      </c>
    </row>
    <row r="5" spans="1:24" s="114" customFormat="1" ht="12.75" x14ac:dyDescent="0.2">
      <c r="A5" s="112" t="str">
        <f>Alternatives_Assumptions!A4</f>
        <v>Setback Levee</v>
      </c>
      <c r="B5" s="267"/>
      <c r="C5" s="268"/>
      <c r="D5" s="113">
        <f>Alternatives_Assumptions!C4</f>
        <v>0</v>
      </c>
      <c r="E5" s="113">
        <f>Alternatives_Assumptions!D4</f>
        <v>0</v>
      </c>
      <c r="F5" s="113">
        <f>Alternatives_Assumptions!E4</f>
        <v>0</v>
      </c>
      <c r="G5" s="112" t="str">
        <f>A5</f>
        <v>Setback Levee</v>
      </c>
      <c r="H5" s="398"/>
      <c r="I5" s="399"/>
      <c r="J5" s="113">
        <f>Alternatives_Assumptions!G4</f>
        <v>0</v>
      </c>
      <c r="K5" s="113">
        <f>Alternatives_Assumptions!H4</f>
        <v>0</v>
      </c>
      <c r="L5" s="113">
        <f>Alternatives_Assumptions!I4</f>
        <v>0</v>
      </c>
      <c r="M5" s="112" t="str">
        <f>A5</f>
        <v>Setback Levee</v>
      </c>
      <c r="N5" s="267">
        <v>1</v>
      </c>
      <c r="O5" s="268">
        <v>2</v>
      </c>
      <c r="P5" s="113">
        <f>Alternatives_Assumptions!K4</f>
        <v>272000</v>
      </c>
      <c r="Q5" s="113">
        <f>Alternatives_Assumptions!L4</f>
        <v>300000</v>
      </c>
      <c r="R5" s="113">
        <f>Alternatives_Assumptions!M4</f>
        <v>390000</v>
      </c>
      <c r="S5" s="112" t="str">
        <f>G5</f>
        <v>Setback Levee</v>
      </c>
      <c r="T5" s="267">
        <v>1</v>
      </c>
      <c r="U5" s="268">
        <v>2</v>
      </c>
      <c r="V5" s="113">
        <f>Alternatives_Assumptions!O4</f>
        <v>681000</v>
      </c>
      <c r="W5" s="113">
        <f>Alternatives_Assumptions!P4</f>
        <v>750000</v>
      </c>
      <c r="X5" s="113">
        <f>Alternatives_Assumptions!Q4</f>
        <v>975000</v>
      </c>
    </row>
    <row r="6" spans="1:24" s="114" customFormat="1" ht="12.75" x14ac:dyDescent="0.2">
      <c r="A6" s="114" t="str">
        <f>Alternatives_Assumptions!A7</f>
        <v>Excavation (e.g. channel network)</v>
      </c>
      <c r="B6" s="269"/>
      <c r="C6" s="269"/>
      <c r="D6" s="117">
        <f>Alternatives_Assumptions!C7</f>
        <v>0</v>
      </c>
      <c r="E6" s="117">
        <f>Alternatives_Assumptions!D7</f>
        <v>0</v>
      </c>
      <c r="F6" s="117">
        <f>Alternatives_Assumptions!E7</f>
        <v>0</v>
      </c>
      <c r="G6" s="114" t="str">
        <f t="shared" ref="G6:G10" si="0">A6</f>
        <v>Excavation (e.g. channel network)</v>
      </c>
      <c r="H6" s="269">
        <v>1</v>
      </c>
      <c r="I6" s="269">
        <v>5</v>
      </c>
      <c r="J6" s="117">
        <f>Alternatives_Assumptions!G7</f>
        <v>117000</v>
      </c>
      <c r="K6" s="117">
        <f>Alternatives_Assumptions!H7</f>
        <v>143000</v>
      </c>
      <c r="L6" s="117">
        <f>Alternatives_Assumptions!I7</f>
        <v>169000</v>
      </c>
      <c r="M6" s="114" t="str">
        <f t="shared" ref="M6:M10" si="1">A6</f>
        <v>Excavation (e.g. channel network)</v>
      </c>
      <c r="N6" s="269">
        <v>1</v>
      </c>
      <c r="O6" s="269">
        <v>5</v>
      </c>
      <c r="P6" s="117">
        <f>Alternatives_Assumptions!K7</f>
        <v>45000</v>
      </c>
      <c r="Q6" s="117">
        <f>Alternatives_Assumptions!L7</f>
        <v>55000</v>
      </c>
      <c r="R6" s="117">
        <f>Alternatives_Assumptions!M7</f>
        <v>65000</v>
      </c>
      <c r="S6" s="114" t="str">
        <f t="shared" ref="S6:S10" si="2">G6</f>
        <v>Excavation (e.g. channel network)</v>
      </c>
      <c r="T6" s="269">
        <v>1</v>
      </c>
      <c r="U6" s="269">
        <v>5</v>
      </c>
      <c r="V6" s="117">
        <f>Alternatives_Assumptions!O7</f>
        <v>7650</v>
      </c>
      <c r="W6" s="117">
        <f>Alternatives_Assumptions!P7</f>
        <v>9350</v>
      </c>
      <c r="X6" s="117">
        <f>Alternatives_Assumptions!Q7</f>
        <v>11050</v>
      </c>
    </row>
    <row r="7" spans="1:24" s="119" customFormat="1" ht="12.75" x14ac:dyDescent="0.2">
      <c r="A7" s="118" t="str">
        <f>Alternatives_Assumptions!A10</f>
        <v>Breach/Lower Levee</v>
      </c>
      <c r="B7" s="269"/>
      <c r="C7" s="269"/>
      <c r="D7" s="117">
        <f>Alternatives_Assumptions!C10</f>
        <v>0</v>
      </c>
      <c r="E7" s="117">
        <f>Alternatives_Assumptions!D10</f>
        <v>0</v>
      </c>
      <c r="F7" s="117">
        <f>Alternatives_Assumptions!E10</f>
        <v>0</v>
      </c>
      <c r="G7" s="114" t="str">
        <f t="shared" si="0"/>
        <v>Breach/Lower Levee</v>
      </c>
      <c r="H7" s="269">
        <v>4</v>
      </c>
      <c r="I7" s="269">
        <v>5</v>
      </c>
      <c r="J7" s="117">
        <f>Alternatives_Assumptions!G10</f>
        <v>1640000</v>
      </c>
      <c r="K7" s="117">
        <f>Alternatives_Assumptions!H10</f>
        <v>1800000</v>
      </c>
      <c r="L7" s="117">
        <f>Alternatives_Assumptions!I10</f>
        <v>2340000</v>
      </c>
      <c r="M7" s="114" t="str">
        <f t="shared" si="1"/>
        <v>Breach/Lower Levee</v>
      </c>
      <c r="N7" s="269">
        <v>4</v>
      </c>
      <c r="O7" s="269">
        <v>5</v>
      </c>
      <c r="P7" s="117">
        <f>Alternatives_Assumptions!K10</f>
        <v>1230000</v>
      </c>
      <c r="Q7" s="117">
        <f>Alternatives_Assumptions!L10</f>
        <v>1350000</v>
      </c>
      <c r="R7" s="117">
        <f>Alternatives_Assumptions!M10</f>
        <v>1755000</v>
      </c>
      <c r="S7" s="114" t="str">
        <f t="shared" si="2"/>
        <v>Breach/Lower Levee</v>
      </c>
      <c r="T7" s="269">
        <v>4</v>
      </c>
      <c r="U7" s="269">
        <v>5</v>
      </c>
      <c r="V7" s="117">
        <f>Alternatives_Assumptions!O10</f>
        <v>1230000</v>
      </c>
      <c r="W7" s="117">
        <f>Alternatives_Assumptions!P10</f>
        <v>1350000</v>
      </c>
      <c r="X7" s="117">
        <f>Alternatives_Assumptions!Q10</f>
        <v>1755000</v>
      </c>
    </row>
    <row r="8" spans="1:24" s="119" customFormat="1" ht="12.75" x14ac:dyDescent="0.2">
      <c r="A8" s="118" t="str">
        <f>Alternatives_Assumptions!A13</f>
        <v>Habitat restoration</v>
      </c>
      <c r="B8" s="269"/>
      <c r="C8" s="269"/>
      <c r="D8" s="117">
        <f>Alternatives_Assumptions!C13</f>
        <v>0</v>
      </c>
      <c r="E8" s="117">
        <f>Alternatives_Assumptions!D13</f>
        <v>0</v>
      </c>
      <c r="F8" s="117">
        <f>Alternatives_Assumptions!E13</f>
        <v>0</v>
      </c>
      <c r="G8" s="114" t="str">
        <f t="shared" si="0"/>
        <v>Habitat restoration</v>
      </c>
      <c r="H8" s="269">
        <v>2</v>
      </c>
      <c r="I8" s="269">
        <v>5</v>
      </c>
      <c r="J8" s="117">
        <f>Alternatives_Assumptions!G13</f>
        <v>528000</v>
      </c>
      <c r="K8" s="117">
        <f>Alternatives_Assumptions!H13</f>
        <v>1452000</v>
      </c>
      <c r="L8" s="117">
        <f>Alternatives_Assumptions!I13</f>
        <v>5940000</v>
      </c>
      <c r="M8" s="114" t="str">
        <f t="shared" si="1"/>
        <v>Habitat restoration</v>
      </c>
      <c r="N8" s="269">
        <v>2</v>
      </c>
      <c r="O8" s="269">
        <v>5</v>
      </c>
      <c r="P8" s="117">
        <f>Alternatives_Assumptions!K13</f>
        <v>140000</v>
      </c>
      <c r="Q8" s="117">
        <f>Alternatives_Assumptions!L13</f>
        <v>385000</v>
      </c>
      <c r="R8" s="117">
        <f>Alternatives_Assumptions!M13</f>
        <v>1575000</v>
      </c>
      <c r="S8" s="114" t="str">
        <f t="shared" si="2"/>
        <v>Habitat restoration</v>
      </c>
      <c r="T8" s="269">
        <v>2</v>
      </c>
      <c r="U8" s="269">
        <v>5</v>
      </c>
      <c r="V8" s="117">
        <f>Alternatives_Assumptions!O13</f>
        <v>112000</v>
      </c>
      <c r="W8" s="117">
        <f>Alternatives_Assumptions!P13</f>
        <v>308000</v>
      </c>
      <c r="X8" s="117">
        <f>Alternatives_Assumptions!Q13</f>
        <v>1260000</v>
      </c>
    </row>
    <row r="9" spans="1:24" s="119" customFormat="1" ht="12.75" x14ac:dyDescent="0.2">
      <c r="A9" s="118" t="str">
        <f>Alternatives_Assumptions!A16</f>
        <v>Planning, Permitting, Design (% of constr)</v>
      </c>
      <c r="B9" s="269"/>
      <c r="C9" s="269"/>
      <c r="D9" s="117">
        <f>SUM(D5:D8)*0.05</f>
        <v>0</v>
      </c>
      <c r="E9" s="117">
        <f>SUM(E5:E8)*0.05</f>
        <v>0</v>
      </c>
      <c r="F9" s="117">
        <f>SUM(F5:F8)*0.05</f>
        <v>0</v>
      </c>
      <c r="G9" s="114" t="str">
        <f t="shared" si="0"/>
        <v>Planning, Permitting, Design (% of constr)</v>
      </c>
      <c r="H9" s="269">
        <v>1</v>
      </c>
      <c r="I9" s="269">
        <v>2</v>
      </c>
      <c r="J9" s="117">
        <f>SUM(J5:J8)*0.05</f>
        <v>114250</v>
      </c>
      <c r="K9" s="117">
        <f>SUM(K5:K8)*0.05</f>
        <v>169750</v>
      </c>
      <c r="L9" s="117">
        <f>SUM(L5:L8)*0.05</f>
        <v>422450</v>
      </c>
      <c r="M9" s="114" t="str">
        <f t="shared" si="1"/>
        <v>Planning, Permitting, Design (% of constr)</v>
      </c>
      <c r="N9" s="269">
        <v>1</v>
      </c>
      <c r="O9" s="269">
        <v>2</v>
      </c>
      <c r="P9" s="117">
        <f>SUM(P5:P8)*0.05</f>
        <v>84350</v>
      </c>
      <c r="Q9" s="117">
        <f>SUM(Q5:Q8)*0.05</f>
        <v>104500</v>
      </c>
      <c r="R9" s="117">
        <f>SUM(R5:R8)*0.05</f>
        <v>189250</v>
      </c>
      <c r="S9" s="114" t="str">
        <f t="shared" si="2"/>
        <v>Planning, Permitting, Design (% of constr)</v>
      </c>
      <c r="T9" s="269">
        <v>1</v>
      </c>
      <c r="U9" s="269">
        <v>2</v>
      </c>
      <c r="V9" s="117">
        <f>SUM(V5:V8)*0.05</f>
        <v>101532.5</v>
      </c>
      <c r="W9" s="117">
        <f>SUM(W5:W8)*0.05</f>
        <v>120867.5</v>
      </c>
      <c r="X9" s="117">
        <f>SUM(X5:X8)*0.05</f>
        <v>200052.5</v>
      </c>
    </row>
    <row r="10" spans="1:24" s="119" customFormat="1" ht="12.75" x14ac:dyDescent="0.2">
      <c r="A10" s="120" t="str">
        <f>Alternatives_Assumptions!A17</f>
        <v>Monitoring (% of total Proj costs)</v>
      </c>
      <c r="B10" s="270"/>
      <c r="C10" s="270"/>
      <c r="D10" s="121">
        <f>SUM(D5:D8)*0.01</f>
        <v>0</v>
      </c>
      <c r="E10" s="121">
        <f>SUM(E5:E8)*0.02</f>
        <v>0</v>
      </c>
      <c r="F10" s="121">
        <f>SUM(F5:F8)*0.05</f>
        <v>0</v>
      </c>
      <c r="G10" s="164" t="str">
        <f t="shared" si="0"/>
        <v>Monitoring (% of total Proj costs)</v>
      </c>
      <c r="H10" s="270">
        <v>6</v>
      </c>
      <c r="I10" s="270">
        <f>Project_Assumptions!C6</f>
        <v>30</v>
      </c>
      <c r="J10" s="121">
        <f>SUM(J5:J8)*0.01</f>
        <v>22850</v>
      </c>
      <c r="K10" s="121">
        <f>SUM(K5:K8)*0.02</f>
        <v>67900</v>
      </c>
      <c r="L10" s="121">
        <f>SUM(L5:L8)*0.03</f>
        <v>253470</v>
      </c>
      <c r="M10" s="164" t="str">
        <f t="shared" si="1"/>
        <v>Monitoring (% of total Proj costs)</v>
      </c>
      <c r="N10" s="270">
        <v>6</v>
      </c>
      <c r="O10" s="270">
        <f>Project_Assumptions!C6</f>
        <v>30</v>
      </c>
      <c r="P10" s="121">
        <f>SUM(P5:P8)*0.01</f>
        <v>16870</v>
      </c>
      <c r="Q10" s="121">
        <f>SUM(Q5:Q8)*0.02</f>
        <v>41800</v>
      </c>
      <c r="R10" s="121">
        <f>SUM(R5:R8)*0.03</f>
        <v>113550</v>
      </c>
      <c r="S10" s="164" t="str">
        <f t="shared" si="2"/>
        <v>Monitoring (% of total Proj costs)</v>
      </c>
      <c r="T10" s="270">
        <v>6</v>
      </c>
      <c r="U10" s="270">
        <v>30</v>
      </c>
      <c r="V10" s="121">
        <f>SUM(V5:V8)*0.01</f>
        <v>20306.5</v>
      </c>
      <c r="W10" s="121">
        <f>SUM(W5:W8)*0.02</f>
        <v>48347</v>
      </c>
      <c r="X10" s="121">
        <f>SUM(X5:X8)*0.03</f>
        <v>120031.5</v>
      </c>
    </row>
    <row r="11" spans="1:24" s="41" customFormat="1" ht="15" x14ac:dyDescent="0.25">
      <c r="G11" s="101"/>
      <c r="H11" s="101"/>
      <c r="I11" s="101"/>
      <c r="J11" s="101"/>
      <c r="K11" s="101"/>
      <c r="L11" s="101"/>
      <c r="M11" s="101"/>
      <c r="N11" s="101"/>
      <c r="S11" s="101"/>
      <c r="T11" s="101"/>
    </row>
    <row r="12" spans="1:24" s="41" customFormat="1" ht="15" x14ac:dyDescent="0.25">
      <c r="A12" s="126" t="s">
        <v>55</v>
      </c>
      <c r="B12" s="153">
        <f>Benefits_FloodRisk!B2</f>
        <v>3.3750000000000002E-2</v>
      </c>
      <c r="C12" s="218" t="s">
        <v>18</v>
      </c>
      <c r="D12" s="152">
        <f>NPV($B12,D17:D46)</f>
        <v>0</v>
      </c>
      <c r="E12" s="152">
        <f>NPV($B12,E17:E46)</f>
        <v>0</v>
      </c>
      <c r="F12" s="152">
        <f>NPV($B12,F17:F46)</f>
        <v>0</v>
      </c>
      <c r="G12" s="127" t="str">
        <f>A12</f>
        <v>Discount rate</v>
      </c>
      <c r="H12" s="153">
        <f>B12</f>
        <v>3.3750000000000002E-2</v>
      </c>
      <c r="I12" s="218" t="s">
        <v>18</v>
      </c>
      <c r="J12" s="152">
        <f>NPV($H12,J17:J46)</f>
        <v>2110738.1545916405</v>
      </c>
      <c r="K12" s="152">
        <f>NPV($H12,K17:K46)</f>
        <v>3173654.7322083721</v>
      </c>
      <c r="L12" s="152">
        <f>NPV($H12,L17:L46)</f>
        <v>8006370.3404176002</v>
      </c>
      <c r="M12" s="127" t="str">
        <f>G12</f>
        <v>Discount rate</v>
      </c>
      <c r="N12" s="153">
        <f>H12</f>
        <v>3.3750000000000002E-2</v>
      </c>
      <c r="O12" s="218" t="s">
        <v>18</v>
      </c>
      <c r="P12" s="152">
        <f>NPV($N12,P17:P46)</f>
        <v>1573634.6002125468</v>
      </c>
      <c r="Q12" s="152">
        <f>NPV($N12,Q17:Q46)</f>
        <v>1964270.060218537</v>
      </c>
      <c r="R12" s="152">
        <f>NPV($N12,R17:R46)</f>
        <v>3589299.3194562811</v>
      </c>
      <c r="S12" s="127" t="str">
        <f>M12</f>
        <v>Discount rate</v>
      </c>
      <c r="T12" s="153">
        <f>N12</f>
        <v>3.3750000000000002E-2</v>
      </c>
      <c r="U12" s="218" t="s">
        <v>18</v>
      </c>
      <c r="V12" s="152">
        <f>NPV($N12,V17:V46)</f>
        <v>1922325.2585698776</v>
      </c>
      <c r="W12" s="152">
        <f>NPV($N12,W17:W46)</f>
        <v>2301782.7570113111</v>
      </c>
      <c r="X12" s="152">
        <f>NPV($N12,X17:X46)</f>
        <v>3830376.7326681879</v>
      </c>
    </row>
    <row r="13" spans="1:24" s="41" customFormat="1" ht="15" x14ac:dyDescent="0.25">
      <c r="A13" s="219"/>
      <c r="B13" s="157"/>
      <c r="C13" s="218" t="s">
        <v>54</v>
      </c>
      <c r="D13" s="152">
        <f>($B$12*D12)/(1-(1+$B$12)^-Project_Assumptions!$C$6)</f>
        <v>0</v>
      </c>
      <c r="E13" s="152">
        <f>($B$12*E12)/(1-(1+$B$12)^-Project_Assumptions!$C$6)</f>
        <v>0</v>
      </c>
      <c r="F13" s="152">
        <f>($B$12*F12)/(1-(1+$B$12)^-Project_Assumptions!$C$6)</f>
        <v>0</v>
      </c>
      <c r="G13" s="220"/>
      <c r="H13" s="157"/>
      <c r="I13" s="218" t="s">
        <v>54</v>
      </c>
      <c r="J13" s="152">
        <f>($H$12*J12)/(1-(1+$H$12)^-Project_Assumptions!$C$6)</f>
        <v>112973.37425892947</v>
      </c>
      <c r="K13" s="152">
        <f>($H$12*K12)/(1-(1+$H$12)^-Project_Assumptions!$C$6)</f>
        <v>169864.02744956518</v>
      </c>
      <c r="L13" s="152">
        <f>($H$12*L12)/(1-(1+$H$12)^-Project_Assumptions!$C$6)</f>
        <v>428526.23427304416</v>
      </c>
      <c r="M13" s="127"/>
      <c r="N13" s="153"/>
      <c r="O13" s="218" t="s">
        <v>54</v>
      </c>
      <c r="P13" s="152">
        <f>($N$12*P12)/(1-(1+$N$12)^-Project_Assumptions!$C$6)</f>
        <v>84225.895215793513</v>
      </c>
      <c r="Q13" s="152">
        <f>($N$12*Q12)/(1-(1+$N$12)^-Project_Assumptions!$C$6)</f>
        <v>105133.93912738131</v>
      </c>
      <c r="R13" s="152">
        <f>($N$12*R12)/(1-(1+$N$12)^-Project_Assumptions!$C$6)</f>
        <v>192110.63885975259</v>
      </c>
      <c r="S13" s="127"/>
      <c r="T13" s="153"/>
      <c r="U13" s="218" t="s">
        <v>54</v>
      </c>
      <c r="V13" s="152">
        <f>($N$12*V12)/(1-(1+$N$12)^-Project_Assumptions!$C$6)</f>
        <v>102888.92083150116</v>
      </c>
      <c r="W13" s="152">
        <f>($N$12*W12)/(1-(1+$N$12)^-Project_Assumptions!$C$6)</f>
        <v>123198.68492683723</v>
      </c>
      <c r="X13" s="152">
        <f>($N$12*X12)/(1-(1+$N$12)^-Project_Assumptions!$C$6)</f>
        <v>205013.86362447124</v>
      </c>
    </row>
    <row r="14" spans="1:24" s="41" customFormat="1" ht="15" x14ac:dyDescent="0.25">
      <c r="G14" s="151"/>
      <c r="H14" s="101"/>
      <c r="I14" s="101"/>
      <c r="J14" s="101"/>
      <c r="K14" s="101"/>
      <c r="L14" s="101"/>
      <c r="M14" s="101"/>
      <c r="N14" s="101"/>
      <c r="S14" s="101"/>
      <c r="T14" s="101"/>
    </row>
    <row r="15" spans="1:24" s="41" customFormat="1" ht="15" x14ac:dyDescent="0.25">
      <c r="A15" s="47" t="str">
        <f>A1</f>
        <v>No Action</v>
      </c>
      <c r="B15" s="47"/>
      <c r="C15" s="47"/>
      <c r="D15" s="47" t="s">
        <v>133</v>
      </c>
      <c r="E15" s="47"/>
      <c r="F15" s="47"/>
      <c r="G15" s="47" t="str">
        <f>G1</f>
        <v>North</v>
      </c>
      <c r="H15" s="47"/>
      <c r="I15" s="47"/>
      <c r="J15" s="47" t="s">
        <v>133</v>
      </c>
      <c r="K15" s="47"/>
      <c r="L15" s="47"/>
      <c r="M15" s="47" t="str">
        <f>M1</f>
        <v>Middle</v>
      </c>
      <c r="N15" s="101"/>
      <c r="P15" s="47" t="s">
        <v>133</v>
      </c>
      <c r="S15" s="47" t="str">
        <f>S1</f>
        <v>South</v>
      </c>
      <c r="T15" s="101"/>
      <c r="V15" s="47" t="s">
        <v>133</v>
      </c>
    </row>
    <row r="16" spans="1:24" s="39" customFormat="1" ht="30" x14ac:dyDescent="0.25">
      <c r="A16" s="104" t="s">
        <v>90</v>
      </c>
      <c r="B16" s="104" t="s">
        <v>89</v>
      </c>
      <c r="C16" s="104"/>
      <c r="D16" s="104" t="s">
        <v>8</v>
      </c>
      <c r="E16" s="104" t="s">
        <v>6</v>
      </c>
      <c r="F16" s="104" t="s">
        <v>7</v>
      </c>
      <c r="G16" s="104" t="s">
        <v>90</v>
      </c>
      <c r="H16" s="104" t="s">
        <v>89</v>
      </c>
      <c r="I16" s="104"/>
      <c r="J16" s="104" t="s">
        <v>8</v>
      </c>
      <c r="K16" s="104" t="s">
        <v>6</v>
      </c>
      <c r="L16" s="104" t="s">
        <v>7</v>
      </c>
      <c r="M16" s="104" t="s">
        <v>90</v>
      </c>
      <c r="N16" s="104" t="s">
        <v>89</v>
      </c>
      <c r="O16" s="104"/>
      <c r="P16" s="104" t="s">
        <v>8</v>
      </c>
      <c r="Q16" s="104" t="s">
        <v>6</v>
      </c>
      <c r="R16" s="104" t="s">
        <v>7</v>
      </c>
      <c r="S16" s="104" t="s">
        <v>90</v>
      </c>
      <c r="T16" s="104" t="s">
        <v>89</v>
      </c>
      <c r="U16" s="104"/>
      <c r="V16" s="104" t="s">
        <v>8</v>
      </c>
      <c r="W16" s="104" t="s">
        <v>6</v>
      </c>
      <c r="X16" s="104" t="s">
        <v>7</v>
      </c>
    </row>
    <row r="17" spans="1:24" s="39" customFormat="1" ht="15" x14ac:dyDescent="0.25">
      <c r="A17" s="40">
        <v>1</v>
      </c>
      <c r="B17" s="40">
        <f>2016+A17</f>
        <v>2017</v>
      </c>
      <c r="C17" s="215"/>
      <c r="D17" s="335">
        <f t="shared" ref="D17:F36" si="3">(IF((AND($A17&gt;=$B$5,$A17&lt;=$C$5)),D$105,0)+IF((AND($A17&gt;=$B$6,$A17&lt;=$C$6)),D$106,0)+IF((AND($A17&gt;=$B$7,$A17&lt;=$C$7)),D$107,0)+IF((AND($A17&gt;=$B$8,$A17&lt;=$C$8)),D$108,0)+IF((AND($A17&gt;=$B$9,$A17&lt;=$C$9)),D$109,0)+IF((AND($A17&gt;=$B$10,$A17&lt;=$C$10)),D$110,0))</f>
        <v>0</v>
      </c>
      <c r="E17" s="335">
        <f t="shared" si="3"/>
        <v>0</v>
      </c>
      <c r="F17" s="335">
        <f t="shared" si="3"/>
        <v>0</v>
      </c>
      <c r="G17" s="40">
        <v>1</v>
      </c>
      <c r="H17" s="40">
        <f>2016+G17</f>
        <v>2017</v>
      </c>
      <c r="I17" s="105"/>
      <c r="J17" s="335">
        <f>(IF((AND($G17&gt;=$H$5,$G17&lt;=$I$5)),J$105,0)+IF((AND($G17&gt;=$H$6,$G17&lt;=$I$6)),J$106,0)+IF((AND($G17&gt;=$H$7,$G17&lt;=$I$7)),J$107,0)+IF((AND($G17&gt;=$H$8,$G17&lt;=$I$8)),J$108,0)+IF((AND($G17&gt;=$H$9,$G17&lt;=$I$9)),J$109,0)+IF((AND($G17&gt;=$H$10,$G17&lt;=$I$10)),J$110,0))</f>
        <v>80525</v>
      </c>
      <c r="K17" s="335">
        <f>(IF((AND($G17&gt;=$H$5,$G17&lt;=$I$5)),K$105,0)+IF((AND($G17&gt;=$H$6,$G17&lt;=$I$6)),K$106,0)+IF((AND($G17&gt;=$H$7,$G17&lt;=$I$7)),K$107,0)+IF((AND($G17&gt;=$H$8,$G17&lt;=$I$8)),K$108,0)+IF((AND($G17&gt;=$H$9,$G17&lt;=$I$9)),K$109,0)+IF((AND($G17&gt;=$H$10,$G17&lt;=$I$10)),K$110,0))</f>
        <v>113475</v>
      </c>
      <c r="L17" s="335">
        <f>(IF((AND($G17&gt;=$H$5,$G17&lt;=$I$5)),L$105,0)+IF((AND($G17&gt;=$H$6,$G17&lt;=$I$6)),L$106,0)+IF((AND($G17&gt;=$H$7,$G17&lt;=$I$7)),L$107,0)+IF((AND($G17&gt;=$H$8,$G17&lt;=$I$8)),L$108,0)+IF((AND($G17&gt;=$H$9,$G17&lt;=$I$9)),L$109,0)+IF((AND($G17&gt;=$H$10,$G17&lt;=$I$10)),L$110,0))</f>
        <v>245025</v>
      </c>
      <c r="M17" s="40">
        <v>1</v>
      </c>
      <c r="N17" s="40">
        <f>2016+M17</f>
        <v>2017</v>
      </c>
      <c r="O17" s="105"/>
      <c r="P17" s="335">
        <f>(IF((AND($M17&gt;=$N$5,$M17&lt;=$O$5)),P$105,0)+IF((AND($M17&gt;=$N$6,$M17&lt;=$O$6)),P$106,0)+IF((AND($M17&gt;=$N$7,$M17&lt;=$O$7)),P$107,0)+IF((AND($M17&gt;=$N$8,$M17&lt;=$O$8)),P$108,0)+IF((AND($M17&gt;=$N$9,$M17&lt;=$O$9)),P$109,0)+IF((AND($M17&gt;=$N$10,$M17&lt;=$O$10)),P$110,0))</f>
        <v>187175</v>
      </c>
      <c r="Q17" s="335">
        <f>(IF((AND($M17&gt;=$N$5,$M17&lt;=$O$5)),Q$105,0)+IF((AND($M17&gt;=$N$6,$M17&lt;=$O$6)),Q$106,0)+IF((AND($M17&gt;=$N$7,$M17&lt;=$O$7)),Q$107,0)+IF((AND($M17&gt;=$N$8,$M17&lt;=$O$8)),Q$108,0)+IF((AND($M17&gt;=$N$9,$M17&lt;=$O$9)),Q$109,0)+IF((AND($M17&gt;=$N$10,$M17&lt;=$O$10)),Q$110,0))</f>
        <v>213250</v>
      </c>
      <c r="R17" s="335">
        <f>(IF((AND($M17&gt;=$N$5,$M17&lt;=$O$5)),R$105,0)+IF((AND($M17&gt;=$N$6,$M17&lt;=$O$6)),R$106,0)+IF((AND($M17&gt;=$N$7,$M17&lt;=$O$7)),R$107,0)+IF((AND($M17&gt;=$N$8,$M17&lt;=$O$8)),R$108,0)+IF((AND($M17&gt;=$N$9,$M17&lt;=$O$9)),R$109,0)+IF((AND($M17&gt;=$N$10,$M17&lt;=$O$10)),R$110,0))</f>
        <v>302625</v>
      </c>
      <c r="S17" s="40">
        <v>1</v>
      </c>
      <c r="T17" s="40">
        <f>2016+S17</f>
        <v>2017</v>
      </c>
      <c r="U17" s="105"/>
      <c r="V17" s="335">
        <f>(IF((AND($M17&gt;=$N$5,$M17&lt;=$O$5)),V$105,0)+IF((AND($M17&gt;=$N$6,$M17&lt;=$O$6)),V$106,0)+IF((AND($M17&gt;=$N$7,$M17&lt;=$O$7)),V$107,0)+IF((AND($M17&gt;=$N$8,$M17&lt;=$O$8)),V$108,0)+IF((AND($M17&gt;=$N$9,$M17&lt;=$O$9)),V$109,0)+IF((AND($M17&gt;=$N$10,$M17&lt;=$O$10)),V$110,0))</f>
        <v>392796.25</v>
      </c>
      <c r="W17" s="335">
        <f>(IF((AND($M17&gt;=$N$5,$M17&lt;=$O$5)),W$105,0)+IF((AND($M17&gt;=$N$6,$M17&lt;=$O$6)),W$106,0)+IF((AND($M17&gt;=$N$7,$M17&lt;=$O$7)),W$107,0)+IF((AND($M17&gt;=$N$8,$M17&lt;=$O$8)),W$108,0)+IF((AND($M17&gt;=$N$9,$M17&lt;=$O$9)),W$109,0)+IF((AND($M17&gt;=$N$10,$M17&lt;=$O$10)),W$110,0))</f>
        <v>437303.75</v>
      </c>
      <c r="X17" s="335">
        <f>(IF((AND($M17&gt;=$N$5,$M17&lt;=$O$5)),X$105,0)+IF((AND($M17&gt;=$N$6,$M17&lt;=$O$6)),X$106,0)+IF((AND($M17&gt;=$N$7,$M17&lt;=$O$7)),X$107,0)+IF((AND($M17&gt;=$N$8,$M17&lt;=$O$8)),X$108,0)+IF((AND($M17&gt;=$N$9,$M17&lt;=$O$9)),X$109,0)+IF((AND($M17&gt;=$N$10,$M17&lt;=$O$10)),X$110,0))</f>
        <v>589736.25</v>
      </c>
    </row>
    <row r="18" spans="1:24" s="41" customFormat="1" ht="15" x14ac:dyDescent="0.25">
      <c r="A18" s="1">
        <v>2</v>
      </c>
      <c r="B18" s="1">
        <f t="shared" ref="B18:B81" si="4">2016+A18</f>
        <v>2018</v>
      </c>
      <c r="C18" s="216"/>
      <c r="D18" s="336">
        <f t="shared" si="3"/>
        <v>0</v>
      </c>
      <c r="E18" s="336">
        <f t="shared" si="3"/>
        <v>0</v>
      </c>
      <c r="F18" s="336">
        <f t="shared" si="3"/>
        <v>0</v>
      </c>
      <c r="G18" s="1">
        <v>2</v>
      </c>
      <c r="H18" s="1">
        <f t="shared" ref="H18:H81" si="5">2016+G18</f>
        <v>2018</v>
      </c>
      <c r="I18" s="1"/>
      <c r="J18" s="336">
        <f t="shared" ref="J18:L49" si="6">(IF((AND($G18&gt;=$H$5,$G18&lt;=$I$5)),J$105,0)+IF((AND($G18&gt;=$H$6,$G18&lt;=$I$6)),J$106,0)+IF((AND($G18&gt;=$H$7,$G18&lt;=$I$7)),J$107,0)+IF((AND($G18&gt;=$H$8,$G18&lt;=$I$8)),J$108,0)+IF((AND($G18&gt;=$H$9,$G18&lt;=$I$9)),J$109,0)+IF((AND($G18&gt;=$H$10,$G18&lt;=$I$10)),J$110,0))</f>
        <v>212525</v>
      </c>
      <c r="K18" s="336">
        <f t="shared" si="6"/>
        <v>476475</v>
      </c>
      <c r="L18" s="336">
        <f t="shared" si="6"/>
        <v>1730025</v>
      </c>
      <c r="M18" s="1">
        <v>2</v>
      </c>
      <c r="N18" s="1">
        <f t="shared" ref="N18:N81" si="7">2016+M18</f>
        <v>2018</v>
      </c>
      <c r="O18" s="1"/>
      <c r="P18" s="336">
        <f t="shared" ref="P18:R49" si="8">(IF((AND($M18&gt;=$N$5,$M18&lt;=$O$5)),P$105,0)+IF((AND($M18&gt;=$N$6,$M18&lt;=$O$6)),P$106,0)+IF((AND($M18&gt;=$N$7,$M18&lt;=$O$7)),P$107,0)+IF((AND($M18&gt;=$N$8,$M18&lt;=$O$8)),P$108,0)+IF((AND($M18&gt;=$N$9,$M18&lt;=$O$9)),P$109,0)+IF((AND($M18&gt;=$N$10,$M18&lt;=$O$10)),P$110,0))</f>
        <v>222175</v>
      </c>
      <c r="Q18" s="336">
        <f t="shared" si="8"/>
        <v>309500</v>
      </c>
      <c r="R18" s="336">
        <f t="shared" si="8"/>
        <v>696375</v>
      </c>
      <c r="S18" s="1">
        <v>2</v>
      </c>
      <c r="T18" s="1">
        <f t="shared" ref="T18:T81" si="9">2016+S18</f>
        <v>2018</v>
      </c>
      <c r="U18" s="1"/>
      <c r="V18" s="336">
        <f t="shared" ref="V18:X49" si="10">(IF((AND($M18&gt;=$N$5,$M18&lt;=$O$5)),V$105,0)+IF((AND($M18&gt;=$N$6,$M18&lt;=$O$6)),V$106,0)+IF((AND($M18&gt;=$N$7,$M18&lt;=$O$7)),V$107,0)+IF((AND($M18&gt;=$N$8,$M18&lt;=$O$8)),V$108,0)+IF((AND($M18&gt;=$N$9,$M18&lt;=$O$9)),V$109,0)+IF((AND($M18&gt;=$N$10,$M18&lt;=$O$10)),V$110,0))</f>
        <v>420796.25</v>
      </c>
      <c r="W18" s="336">
        <f t="shared" si="10"/>
        <v>514303.75</v>
      </c>
      <c r="X18" s="336">
        <f t="shared" si="10"/>
        <v>904736.25</v>
      </c>
    </row>
    <row r="19" spans="1:24" s="41" customFormat="1" ht="15" x14ac:dyDescent="0.25">
      <c r="A19" s="1">
        <v>3</v>
      </c>
      <c r="B19" s="1">
        <f t="shared" si="4"/>
        <v>2019</v>
      </c>
      <c r="C19" s="216"/>
      <c r="D19" s="336">
        <f t="shared" si="3"/>
        <v>0</v>
      </c>
      <c r="E19" s="336">
        <f t="shared" si="3"/>
        <v>0</v>
      </c>
      <c r="F19" s="336">
        <f t="shared" si="3"/>
        <v>0</v>
      </c>
      <c r="G19" s="1">
        <v>3</v>
      </c>
      <c r="H19" s="1">
        <f t="shared" si="5"/>
        <v>2019</v>
      </c>
      <c r="I19" s="1"/>
      <c r="J19" s="336">
        <f t="shared" si="6"/>
        <v>155400</v>
      </c>
      <c r="K19" s="336">
        <f t="shared" si="6"/>
        <v>391600</v>
      </c>
      <c r="L19" s="336">
        <f t="shared" si="6"/>
        <v>1518800</v>
      </c>
      <c r="M19" s="1">
        <v>3</v>
      </c>
      <c r="N19" s="1">
        <f t="shared" si="7"/>
        <v>2019</v>
      </c>
      <c r="O19" s="1"/>
      <c r="P19" s="336">
        <f t="shared" si="8"/>
        <v>44000</v>
      </c>
      <c r="Q19" s="336">
        <f t="shared" si="8"/>
        <v>107250</v>
      </c>
      <c r="R19" s="336">
        <f t="shared" si="8"/>
        <v>406750</v>
      </c>
      <c r="S19" s="1">
        <v>3</v>
      </c>
      <c r="T19" s="1">
        <f t="shared" si="9"/>
        <v>2019</v>
      </c>
      <c r="U19" s="1"/>
      <c r="V19" s="336">
        <f t="shared" si="10"/>
        <v>29530</v>
      </c>
      <c r="W19" s="336">
        <f t="shared" si="10"/>
        <v>78870</v>
      </c>
      <c r="X19" s="336">
        <f t="shared" si="10"/>
        <v>317210</v>
      </c>
    </row>
    <row r="20" spans="1:24" s="41" customFormat="1" ht="15" x14ac:dyDescent="0.25">
      <c r="A20" s="1">
        <v>4</v>
      </c>
      <c r="B20" s="1">
        <f t="shared" si="4"/>
        <v>2020</v>
      </c>
      <c r="C20" s="216"/>
      <c r="D20" s="336">
        <f t="shared" si="3"/>
        <v>0</v>
      </c>
      <c r="E20" s="336">
        <f t="shared" si="3"/>
        <v>0</v>
      </c>
      <c r="F20" s="336">
        <f t="shared" si="3"/>
        <v>0</v>
      </c>
      <c r="G20" s="1">
        <v>4</v>
      </c>
      <c r="H20" s="1">
        <f t="shared" si="5"/>
        <v>2020</v>
      </c>
      <c r="I20" s="1"/>
      <c r="J20" s="336">
        <f t="shared" si="6"/>
        <v>975400</v>
      </c>
      <c r="K20" s="336">
        <f t="shared" si="6"/>
        <v>1291600</v>
      </c>
      <c r="L20" s="336">
        <f t="shared" si="6"/>
        <v>2688800</v>
      </c>
      <c r="M20" s="1">
        <v>4</v>
      </c>
      <c r="N20" s="1">
        <f t="shared" si="7"/>
        <v>2020</v>
      </c>
      <c r="O20" s="1"/>
      <c r="P20" s="336">
        <f t="shared" si="8"/>
        <v>659000</v>
      </c>
      <c r="Q20" s="336">
        <f t="shared" si="8"/>
        <v>782250</v>
      </c>
      <c r="R20" s="336">
        <f t="shared" si="8"/>
        <v>1284250</v>
      </c>
      <c r="S20" s="1">
        <v>4</v>
      </c>
      <c r="T20" s="1">
        <f t="shared" si="9"/>
        <v>2020</v>
      </c>
      <c r="U20" s="1"/>
      <c r="V20" s="336">
        <f t="shared" si="10"/>
        <v>644530</v>
      </c>
      <c r="W20" s="336">
        <f t="shared" si="10"/>
        <v>753870</v>
      </c>
      <c r="X20" s="336">
        <f t="shared" si="10"/>
        <v>1194710</v>
      </c>
    </row>
    <row r="21" spans="1:24" s="41" customFormat="1" ht="15" x14ac:dyDescent="0.25">
      <c r="A21" s="1">
        <v>5</v>
      </c>
      <c r="B21" s="1">
        <f t="shared" si="4"/>
        <v>2021</v>
      </c>
      <c r="C21" s="216"/>
      <c r="D21" s="336">
        <f t="shared" si="3"/>
        <v>0</v>
      </c>
      <c r="E21" s="336">
        <f t="shared" si="3"/>
        <v>0</v>
      </c>
      <c r="F21" s="336">
        <f t="shared" si="3"/>
        <v>0</v>
      </c>
      <c r="G21" s="1">
        <v>5</v>
      </c>
      <c r="H21" s="1">
        <f t="shared" si="5"/>
        <v>2021</v>
      </c>
      <c r="I21" s="1"/>
      <c r="J21" s="336">
        <f t="shared" si="6"/>
        <v>975400</v>
      </c>
      <c r="K21" s="336">
        <f t="shared" si="6"/>
        <v>1291600</v>
      </c>
      <c r="L21" s="336">
        <f t="shared" si="6"/>
        <v>2688800</v>
      </c>
      <c r="M21" s="1">
        <v>5</v>
      </c>
      <c r="N21" s="1">
        <f t="shared" si="7"/>
        <v>2021</v>
      </c>
      <c r="O21" s="1"/>
      <c r="P21" s="336">
        <f t="shared" si="8"/>
        <v>659000</v>
      </c>
      <c r="Q21" s="336">
        <f t="shared" si="8"/>
        <v>782250</v>
      </c>
      <c r="R21" s="336">
        <f t="shared" si="8"/>
        <v>1284250</v>
      </c>
      <c r="S21" s="1">
        <v>5</v>
      </c>
      <c r="T21" s="1">
        <f t="shared" si="9"/>
        <v>2021</v>
      </c>
      <c r="U21" s="1"/>
      <c r="V21" s="336">
        <f t="shared" si="10"/>
        <v>644530</v>
      </c>
      <c r="W21" s="336">
        <f t="shared" si="10"/>
        <v>753870</v>
      </c>
      <c r="X21" s="336">
        <f t="shared" si="10"/>
        <v>1194710</v>
      </c>
    </row>
    <row r="22" spans="1:24" s="41" customFormat="1" ht="15" x14ac:dyDescent="0.25">
      <c r="A22" s="1">
        <v>6</v>
      </c>
      <c r="B22" s="1">
        <f t="shared" si="4"/>
        <v>2022</v>
      </c>
      <c r="C22" s="216"/>
      <c r="D22" s="336">
        <f t="shared" si="3"/>
        <v>0</v>
      </c>
      <c r="E22" s="336">
        <f t="shared" si="3"/>
        <v>0</v>
      </c>
      <c r="F22" s="336">
        <f t="shared" si="3"/>
        <v>0</v>
      </c>
      <c r="G22" s="1">
        <v>6</v>
      </c>
      <c r="H22" s="1">
        <f t="shared" si="5"/>
        <v>2022</v>
      </c>
      <c r="I22" s="1"/>
      <c r="J22" s="336">
        <f t="shared" si="6"/>
        <v>914</v>
      </c>
      <c r="K22" s="336">
        <f t="shared" si="6"/>
        <v>2716</v>
      </c>
      <c r="L22" s="336">
        <f t="shared" si="6"/>
        <v>10138.799999999999</v>
      </c>
      <c r="M22" s="1">
        <v>6</v>
      </c>
      <c r="N22" s="1">
        <f t="shared" si="7"/>
        <v>2022</v>
      </c>
      <c r="O22" s="1"/>
      <c r="P22" s="336">
        <f t="shared" si="8"/>
        <v>674.8</v>
      </c>
      <c r="Q22" s="336">
        <f t="shared" si="8"/>
        <v>1672</v>
      </c>
      <c r="R22" s="336">
        <f t="shared" si="8"/>
        <v>4542</v>
      </c>
      <c r="S22" s="1">
        <v>6</v>
      </c>
      <c r="T22" s="1">
        <f t="shared" si="9"/>
        <v>2022</v>
      </c>
      <c r="U22" s="1"/>
      <c r="V22" s="336">
        <f t="shared" si="10"/>
        <v>812.26</v>
      </c>
      <c r="W22" s="336">
        <f t="shared" si="10"/>
        <v>1933.88</v>
      </c>
      <c r="X22" s="336">
        <f t="shared" si="10"/>
        <v>4801.26</v>
      </c>
    </row>
    <row r="23" spans="1:24" s="41" customFormat="1" ht="15" x14ac:dyDescent="0.25">
      <c r="A23" s="1">
        <v>7</v>
      </c>
      <c r="B23" s="1">
        <f t="shared" si="4"/>
        <v>2023</v>
      </c>
      <c r="C23" s="216"/>
      <c r="D23" s="336">
        <f t="shared" si="3"/>
        <v>0</v>
      </c>
      <c r="E23" s="336">
        <f t="shared" si="3"/>
        <v>0</v>
      </c>
      <c r="F23" s="336">
        <f t="shared" si="3"/>
        <v>0</v>
      </c>
      <c r="G23" s="1">
        <v>7</v>
      </c>
      <c r="H23" s="1">
        <f t="shared" si="5"/>
        <v>2023</v>
      </c>
      <c r="I23" s="1"/>
      <c r="J23" s="336">
        <f t="shared" si="6"/>
        <v>914</v>
      </c>
      <c r="K23" s="336">
        <f t="shared" si="6"/>
        <v>2716</v>
      </c>
      <c r="L23" s="336">
        <f t="shared" si="6"/>
        <v>10138.799999999999</v>
      </c>
      <c r="M23" s="1">
        <v>7</v>
      </c>
      <c r="N23" s="1">
        <f t="shared" si="7"/>
        <v>2023</v>
      </c>
      <c r="O23" s="1"/>
      <c r="P23" s="336">
        <f t="shared" si="8"/>
        <v>674.8</v>
      </c>
      <c r="Q23" s="336">
        <f t="shared" si="8"/>
        <v>1672</v>
      </c>
      <c r="R23" s="336">
        <f t="shared" si="8"/>
        <v>4542</v>
      </c>
      <c r="S23" s="1">
        <v>7</v>
      </c>
      <c r="T23" s="1">
        <f t="shared" si="9"/>
        <v>2023</v>
      </c>
      <c r="U23" s="1"/>
      <c r="V23" s="336">
        <f t="shared" si="10"/>
        <v>812.26</v>
      </c>
      <c r="W23" s="336">
        <f t="shared" si="10"/>
        <v>1933.88</v>
      </c>
      <c r="X23" s="336">
        <f t="shared" si="10"/>
        <v>4801.26</v>
      </c>
    </row>
    <row r="24" spans="1:24" s="41" customFormat="1" ht="15" x14ac:dyDescent="0.25">
      <c r="A24" s="1">
        <v>8</v>
      </c>
      <c r="B24" s="1">
        <f t="shared" si="4"/>
        <v>2024</v>
      </c>
      <c r="C24" s="216"/>
      <c r="D24" s="336">
        <f t="shared" si="3"/>
        <v>0</v>
      </c>
      <c r="E24" s="336">
        <f t="shared" si="3"/>
        <v>0</v>
      </c>
      <c r="F24" s="336">
        <f t="shared" si="3"/>
        <v>0</v>
      </c>
      <c r="G24" s="1">
        <v>8</v>
      </c>
      <c r="H24" s="1">
        <f t="shared" si="5"/>
        <v>2024</v>
      </c>
      <c r="I24" s="1"/>
      <c r="J24" s="336">
        <f t="shared" si="6"/>
        <v>914</v>
      </c>
      <c r="K24" s="336">
        <f t="shared" si="6"/>
        <v>2716</v>
      </c>
      <c r="L24" s="336">
        <f t="shared" si="6"/>
        <v>10138.799999999999</v>
      </c>
      <c r="M24" s="1">
        <v>8</v>
      </c>
      <c r="N24" s="1">
        <f t="shared" si="7"/>
        <v>2024</v>
      </c>
      <c r="O24" s="1"/>
      <c r="P24" s="336">
        <f t="shared" si="8"/>
        <v>674.8</v>
      </c>
      <c r="Q24" s="336">
        <f t="shared" si="8"/>
        <v>1672</v>
      </c>
      <c r="R24" s="336">
        <f t="shared" si="8"/>
        <v>4542</v>
      </c>
      <c r="S24" s="1">
        <v>8</v>
      </c>
      <c r="T24" s="1">
        <f t="shared" si="9"/>
        <v>2024</v>
      </c>
      <c r="U24" s="1"/>
      <c r="V24" s="336">
        <f t="shared" si="10"/>
        <v>812.26</v>
      </c>
      <c r="W24" s="336">
        <f t="shared" si="10"/>
        <v>1933.88</v>
      </c>
      <c r="X24" s="336">
        <f t="shared" si="10"/>
        <v>4801.26</v>
      </c>
    </row>
    <row r="25" spans="1:24" s="39" customFormat="1" ht="15" x14ac:dyDescent="0.25">
      <c r="A25" s="1">
        <v>9</v>
      </c>
      <c r="B25" s="1">
        <f t="shared" si="4"/>
        <v>2025</v>
      </c>
      <c r="C25" s="216"/>
      <c r="D25" s="336">
        <f t="shared" si="3"/>
        <v>0</v>
      </c>
      <c r="E25" s="336">
        <f t="shared" si="3"/>
        <v>0</v>
      </c>
      <c r="F25" s="336">
        <f t="shared" si="3"/>
        <v>0</v>
      </c>
      <c r="G25" s="1">
        <v>9</v>
      </c>
      <c r="H25" s="1">
        <f t="shared" si="5"/>
        <v>2025</v>
      </c>
      <c r="I25" s="2"/>
      <c r="J25" s="336">
        <f t="shared" si="6"/>
        <v>914</v>
      </c>
      <c r="K25" s="336">
        <f t="shared" si="6"/>
        <v>2716</v>
      </c>
      <c r="L25" s="336">
        <f t="shared" si="6"/>
        <v>10138.799999999999</v>
      </c>
      <c r="M25" s="1">
        <v>9</v>
      </c>
      <c r="N25" s="1">
        <f t="shared" si="7"/>
        <v>2025</v>
      </c>
      <c r="O25" s="2"/>
      <c r="P25" s="336">
        <f t="shared" si="8"/>
        <v>674.8</v>
      </c>
      <c r="Q25" s="336">
        <f t="shared" si="8"/>
        <v>1672</v>
      </c>
      <c r="R25" s="336">
        <f t="shared" si="8"/>
        <v>4542</v>
      </c>
      <c r="S25" s="1">
        <v>9</v>
      </c>
      <c r="T25" s="1">
        <f t="shared" si="9"/>
        <v>2025</v>
      </c>
      <c r="U25" s="2"/>
      <c r="V25" s="336">
        <f t="shared" si="10"/>
        <v>812.26</v>
      </c>
      <c r="W25" s="336">
        <f t="shared" si="10"/>
        <v>1933.88</v>
      </c>
      <c r="X25" s="336">
        <f t="shared" si="10"/>
        <v>4801.26</v>
      </c>
    </row>
    <row r="26" spans="1:24" s="39" customFormat="1" ht="15" x14ac:dyDescent="0.25">
      <c r="A26" s="1">
        <v>10</v>
      </c>
      <c r="B26" s="1">
        <f t="shared" si="4"/>
        <v>2026</v>
      </c>
      <c r="C26" s="216"/>
      <c r="D26" s="336">
        <f t="shared" si="3"/>
        <v>0</v>
      </c>
      <c r="E26" s="336">
        <f t="shared" si="3"/>
        <v>0</v>
      </c>
      <c r="F26" s="336">
        <f t="shared" si="3"/>
        <v>0</v>
      </c>
      <c r="G26" s="1">
        <v>10</v>
      </c>
      <c r="H26" s="1">
        <f t="shared" si="5"/>
        <v>2026</v>
      </c>
      <c r="I26" s="2"/>
      <c r="J26" s="336">
        <f t="shared" si="6"/>
        <v>914</v>
      </c>
      <c r="K26" s="336">
        <f t="shared" si="6"/>
        <v>2716</v>
      </c>
      <c r="L26" s="336">
        <f t="shared" si="6"/>
        <v>10138.799999999999</v>
      </c>
      <c r="M26" s="1">
        <v>10</v>
      </c>
      <c r="N26" s="1">
        <f t="shared" si="7"/>
        <v>2026</v>
      </c>
      <c r="O26" s="2"/>
      <c r="P26" s="336">
        <f t="shared" si="8"/>
        <v>674.8</v>
      </c>
      <c r="Q26" s="336">
        <f t="shared" si="8"/>
        <v>1672</v>
      </c>
      <c r="R26" s="336">
        <f t="shared" si="8"/>
        <v>4542</v>
      </c>
      <c r="S26" s="1">
        <v>10</v>
      </c>
      <c r="T26" s="1">
        <f t="shared" si="9"/>
        <v>2026</v>
      </c>
      <c r="U26" s="2"/>
      <c r="V26" s="336">
        <f t="shared" si="10"/>
        <v>812.26</v>
      </c>
      <c r="W26" s="336">
        <f t="shared" si="10"/>
        <v>1933.88</v>
      </c>
      <c r="X26" s="336">
        <f t="shared" si="10"/>
        <v>4801.26</v>
      </c>
    </row>
    <row r="27" spans="1:24" s="39" customFormat="1" ht="15" x14ac:dyDescent="0.25">
      <c r="A27" s="1">
        <v>11</v>
      </c>
      <c r="B27" s="1">
        <f t="shared" si="4"/>
        <v>2027</v>
      </c>
      <c r="C27" s="216"/>
      <c r="D27" s="336">
        <f t="shared" si="3"/>
        <v>0</v>
      </c>
      <c r="E27" s="336">
        <f t="shared" si="3"/>
        <v>0</v>
      </c>
      <c r="F27" s="336">
        <f t="shared" si="3"/>
        <v>0</v>
      </c>
      <c r="G27" s="1">
        <v>11</v>
      </c>
      <c r="H27" s="1">
        <f t="shared" si="5"/>
        <v>2027</v>
      </c>
      <c r="I27" s="2"/>
      <c r="J27" s="336">
        <f t="shared" si="6"/>
        <v>914</v>
      </c>
      <c r="K27" s="336">
        <f t="shared" si="6"/>
        <v>2716</v>
      </c>
      <c r="L27" s="336">
        <f t="shared" si="6"/>
        <v>10138.799999999999</v>
      </c>
      <c r="M27" s="1">
        <v>11</v>
      </c>
      <c r="N27" s="1">
        <f t="shared" si="7"/>
        <v>2027</v>
      </c>
      <c r="O27" s="2"/>
      <c r="P27" s="336">
        <f t="shared" si="8"/>
        <v>674.8</v>
      </c>
      <c r="Q27" s="336">
        <f t="shared" si="8"/>
        <v>1672</v>
      </c>
      <c r="R27" s="336">
        <f t="shared" si="8"/>
        <v>4542</v>
      </c>
      <c r="S27" s="1">
        <v>11</v>
      </c>
      <c r="T27" s="1">
        <f t="shared" si="9"/>
        <v>2027</v>
      </c>
      <c r="U27" s="2"/>
      <c r="V27" s="336">
        <f t="shared" si="10"/>
        <v>812.26</v>
      </c>
      <c r="W27" s="336">
        <f t="shared" si="10"/>
        <v>1933.88</v>
      </c>
      <c r="X27" s="336">
        <f t="shared" si="10"/>
        <v>4801.26</v>
      </c>
    </row>
    <row r="28" spans="1:24" s="41" customFormat="1" ht="15" x14ac:dyDescent="0.25">
      <c r="A28" s="1">
        <v>12</v>
      </c>
      <c r="B28" s="1">
        <f t="shared" si="4"/>
        <v>2028</v>
      </c>
      <c r="C28" s="216"/>
      <c r="D28" s="336">
        <f t="shared" si="3"/>
        <v>0</v>
      </c>
      <c r="E28" s="336">
        <f t="shared" si="3"/>
        <v>0</v>
      </c>
      <c r="F28" s="336">
        <f t="shared" si="3"/>
        <v>0</v>
      </c>
      <c r="G28" s="1">
        <v>12</v>
      </c>
      <c r="H28" s="1">
        <f t="shared" si="5"/>
        <v>2028</v>
      </c>
      <c r="I28" s="1"/>
      <c r="J28" s="336">
        <f t="shared" si="6"/>
        <v>914</v>
      </c>
      <c r="K28" s="336">
        <f t="shared" si="6"/>
        <v>2716</v>
      </c>
      <c r="L28" s="336">
        <f t="shared" si="6"/>
        <v>10138.799999999999</v>
      </c>
      <c r="M28" s="1">
        <v>12</v>
      </c>
      <c r="N28" s="1">
        <f t="shared" si="7"/>
        <v>2028</v>
      </c>
      <c r="O28" s="1"/>
      <c r="P28" s="336">
        <f t="shared" si="8"/>
        <v>674.8</v>
      </c>
      <c r="Q28" s="336">
        <f t="shared" si="8"/>
        <v>1672</v>
      </c>
      <c r="R28" s="336">
        <f t="shared" si="8"/>
        <v>4542</v>
      </c>
      <c r="S28" s="1">
        <v>12</v>
      </c>
      <c r="T28" s="1">
        <f t="shared" si="9"/>
        <v>2028</v>
      </c>
      <c r="U28" s="1"/>
      <c r="V28" s="336">
        <f t="shared" si="10"/>
        <v>812.26</v>
      </c>
      <c r="W28" s="336">
        <f t="shared" si="10"/>
        <v>1933.88</v>
      </c>
      <c r="X28" s="336">
        <f t="shared" si="10"/>
        <v>4801.26</v>
      </c>
    </row>
    <row r="29" spans="1:24" s="41" customFormat="1" ht="15" x14ac:dyDescent="0.25">
      <c r="A29" s="1">
        <v>13</v>
      </c>
      <c r="B29" s="1">
        <f t="shared" si="4"/>
        <v>2029</v>
      </c>
      <c r="C29" s="216"/>
      <c r="D29" s="336">
        <f t="shared" si="3"/>
        <v>0</v>
      </c>
      <c r="E29" s="336">
        <f t="shared" si="3"/>
        <v>0</v>
      </c>
      <c r="F29" s="336">
        <f t="shared" si="3"/>
        <v>0</v>
      </c>
      <c r="G29" s="1">
        <v>13</v>
      </c>
      <c r="H29" s="1">
        <f t="shared" si="5"/>
        <v>2029</v>
      </c>
      <c r="I29" s="1"/>
      <c r="J29" s="336">
        <f t="shared" si="6"/>
        <v>914</v>
      </c>
      <c r="K29" s="336">
        <f t="shared" si="6"/>
        <v>2716</v>
      </c>
      <c r="L29" s="336">
        <f t="shared" si="6"/>
        <v>10138.799999999999</v>
      </c>
      <c r="M29" s="1">
        <v>13</v>
      </c>
      <c r="N29" s="1">
        <f t="shared" si="7"/>
        <v>2029</v>
      </c>
      <c r="O29" s="1"/>
      <c r="P29" s="336">
        <f t="shared" si="8"/>
        <v>674.8</v>
      </c>
      <c r="Q29" s="336">
        <f t="shared" si="8"/>
        <v>1672</v>
      </c>
      <c r="R29" s="336">
        <f t="shared" si="8"/>
        <v>4542</v>
      </c>
      <c r="S29" s="1">
        <v>13</v>
      </c>
      <c r="T29" s="1">
        <f t="shared" si="9"/>
        <v>2029</v>
      </c>
      <c r="U29" s="1"/>
      <c r="V29" s="336">
        <f t="shared" si="10"/>
        <v>812.26</v>
      </c>
      <c r="W29" s="336">
        <f t="shared" si="10"/>
        <v>1933.88</v>
      </c>
      <c r="X29" s="336">
        <f t="shared" si="10"/>
        <v>4801.26</v>
      </c>
    </row>
    <row r="30" spans="1:24" s="41" customFormat="1" ht="15" x14ac:dyDescent="0.25">
      <c r="A30" s="1">
        <v>14</v>
      </c>
      <c r="B30" s="1">
        <f t="shared" si="4"/>
        <v>2030</v>
      </c>
      <c r="C30" s="216"/>
      <c r="D30" s="336">
        <f t="shared" si="3"/>
        <v>0</v>
      </c>
      <c r="E30" s="336">
        <f t="shared" si="3"/>
        <v>0</v>
      </c>
      <c r="F30" s="336">
        <f t="shared" si="3"/>
        <v>0</v>
      </c>
      <c r="G30" s="1">
        <v>14</v>
      </c>
      <c r="H30" s="1">
        <f t="shared" si="5"/>
        <v>2030</v>
      </c>
      <c r="I30" s="1"/>
      <c r="J30" s="336">
        <f t="shared" si="6"/>
        <v>914</v>
      </c>
      <c r="K30" s="336">
        <f t="shared" si="6"/>
        <v>2716</v>
      </c>
      <c r="L30" s="336">
        <f t="shared" si="6"/>
        <v>10138.799999999999</v>
      </c>
      <c r="M30" s="1">
        <v>14</v>
      </c>
      <c r="N30" s="1">
        <f t="shared" si="7"/>
        <v>2030</v>
      </c>
      <c r="O30" s="1"/>
      <c r="P30" s="336">
        <f t="shared" si="8"/>
        <v>674.8</v>
      </c>
      <c r="Q30" s="336">
        <f t="shared" si="8"/>
        <v>1672</v>
      </c>
      <c r="R30" s="336">
        <f t="shared" si="8"/>
        <v>4542</v>
      </c>
      <c r="S30" s="1">
        <v>14</v>
      </c>
      <c r="T30" s="1">
        <f t="shared" si="9"/>
        <v>2030</v>
      </c>
      <c r="U30" s="1"/>
      <c r="V30" s="336">
        <f t="shared" si="10"/>
        <v>812.26</v>
      </c>
      <c r="W30" s="336">
        <f t="shared" si="10"/>
        <v>1933.88</v>
      </c>
      <c r="X30" s="336">
        <f t="shared" si="10"/>
        <v>4801.26</v>
      </c>
    </row>
    <row r="31" spans="1:24" s="41" customFormat="1" ht="15" x14ac:dyDescent="0.25">
      <c r="A31" s="1">
        <v>15</v>
      </c>
      <c r="B31" s="1">
        <f t="shared" si="4"/>
        <v>2031</v>
      </c>
      <c r="C31" s="216"/>
      <c r="D31" s="336">
        <f t="shared" si="3"/>
        <v>0</v>
      </c>
      <c r="E31" s="336">
        <f t="shared" si="3"/>
        <v>0</v>
      </c>
      <c r="F31" s="336">
        <f t="shared" si="3"/>
        <v>0</v>
      </c>
      <c r="G31" s="1">
        <v>15</v>
      </c>
      <c r="H31" s="1">
        <f t="shared" si="5"/>
        <v>2031</v>
      </c>
      <c r="I31" s="1"/>
      <c r="J31" s="336">
        <f t="shared" si="6"/>
        <v>914</v>
      </c>
      <c r="K31" s="336">
        <f t="shared" si="6"/>
        <v>2716</v>
      </c>
      <c r="L31" s="336">
        <f t="shared" si="6"/>
        <v>10138.799999999999</v>
      </c>
      <c r="M31" s="1">
        <v>15</v>
      </c>
      <c r="N31" s="1">
        <f t="shared" si="7"/>
        <v>2031</v>
      </c>
      <c r="O31" s="1"/>
      <c r="P31" s="336">
        <f t="shared" si="8"/>
        <v>674.8</v>
      </c>
      <c r="Q31" s="336">
        <f t="shared" si="8"/>
        <v>1672</v>
      </c>
      <c r="R31" s="336">
        <f t="shared" si="8"/>
        <v>4542</v>
      </c>
      <c r="S31" s="1">
        <v>15</v>
      </c>
      <c r="T31" s="1">
        <f t="shared" si="9"/>
        <v>2031</v>
      </c>
      <c r="U31" s="1"/>
      <c r="V31" s="336">
        <f t="shared" si="10"/>
        <v>812.26</v>
      </c>
      <c r="W31" s="336">
        <f t="shared" si="10"/>
        <v>1933.88</v>
      </c>
      <c r="X31" s="336">
        <f t="shared" si="10"/>
        <v>4801.26</v>
      </c>
    </row>
    <row r="32" spans="1:24" s="39" customFormat="1" ht="15" x14ac:dyDescent="0.25">
      <c r="A32" s="1">
        <v>16</v>
      </c>
      <c r="B32" s="1">
        <f t="shared" si="4"/>
        <v>2032</v>
      </c>
      <c r="C32" s="216"/>
      <c r="D32" s="336">
        <f t="shared" si="3"/>
        <v>0</v>
      </c>
      <c r="E32" s="336">
        <f t="shared" si="3"/>
        <v>0</v>
      </c>
      <c r="F32" s="336">
        <f t="shared" si="3"/>
        <v>0</v>
      </c>
      <c r="G32" s="1">
        <v>16</v>
      </c>
      <c r="H32" s="1">
        <f t="shared" si="5"/>
        <v>2032</v>
      </c>
      <c r="I32" s="2"/>
      <c r="J32" s="336">
        <f t="shared" si="6"/>
        <v>914</v>
      </c>
      <c r="K32" s="336">
        <f t="shared" si="6"/>
        <v>2716</v>
      </c>
      <c r="L32" s="336">
        <f t="shared" si="6"/>
        <v>10138.799999999999</v>
      </c>
      <c r="M32" s="1">
        <v>16</v>
      </c>
      <c r="N32" s="1">
        <f t="shared" si="7"/>
        <v>2032</v>
      </c>
      <c r="O32" s="2"/>
      <c r="P32" s="336">
        <f t="shared" si="8"/>
        <v>674.8</v>
      </c>
      <c r="Q32" s="336">
        <f t="shared" si="8"/>
        <v>1672</v>
      </c>
      <c r="R32" s="336">
        <f t="shared" si="8"/>
        <v>4542</v>
      </c>
      <c r="S32" s="1">
        <v>16</v>
      </c>
      <c r="T32" s="1">
        <f t="shared" si="9"/>
        <v>2032</v>
      </c>
      <c r="U32" s="2"/>
      <c r="V32" s="336">
        <f t="shared" si="10"/>
        <v>812.26</v>
      </c>
      <c r="W32" s="336">
        <f t="shared" si="10"/>
        <v>1933.88</v>
      </c>
      <c r="X32" s="336">
        <f t="shared" si="10"/>
        <v>4801.26</v>
      </c>
    </row>
    <row r="33" spans="1:24" s="41" customFormat="1" ht="15" x14ac:dyDescent="0.25">
      <c r="A33" s="1">
        <v>17</v>
      </c>
      <c r="B33" s="1">
        <f t="shared" si="4"/>
        <v>2033</v>
      </c>
      <c r="C33" s="216"/>
      <c r="D33" s="336">
        <f t="shared" si="3"/>
        <v>0</v>
      </c>
      <c r="E33" s="336">
        <f t="shared" si="3"/>
        <v>0</v>
      </c>
      <c r="F33" s="336">
        <f t="shared" si="3"/>
        <v>0</v>
      </c>
      <c r="G33" s="1">
        <v>17</v>
      </c>
      <c r="H33" s="1">
        <f t="shared" si="5"/>
        <v>2033</v>
      </c>
      <c r="I33" s="1"/>
      <c r="J33" s="336">
        <f t="shared" si="6"/>
        <v>914</v>
      </c>
      <c r="K33" s="336">
        <f t="shared" si="6"/>
        <v>2716</v>
      </c>
      <c r="L33" s="336">
        <f t="shared" si="6"/>
        <v>10138.799999999999</v>
      </c>
      <c r="M33" s="1">
        <v>17</v>
      </c>
      <c r="N33" s="1">
        <f t="shared" si="7"/>
        <v>2033</v>
      </c>
      <c r="O33" s="1"/>
      <c r="P33" s="336">
        <f t="shared" si="8"/>
        <v>674.8</v>
      </c>
      <c r="Q33" s="336">
        <f t="shared" si="8"/>
        <v>1672</v>
      </c>
      <c r="R33" s="336">
        <f t="shared" si="8"/>
        <v>4542</v>
      </c>
      <c r="S33" s="1">
        <v>17</v>
      </c>
      <c r="T33" s="1">
        <f t="shared" si="9"/>
        <v>2033</v>
      </c>
      <c r="U33" s="1"/>
      <c r="V33" s="336">
        <f t="shared" si="10"/>
        <v>812.26</v>
      </c>
      <c r="W33" s="336">
        <f t="shared" si="10"/>
        <v>1933.88</v>
      </c>
      <c r="X33" s="336">
        <f t="shared" si="10"/>
        <v>4801.26</v>
      </c>
    </row>
    <row r="34" spans="1:24" s="109" customFormat="1" ht="15" x14ac:dyDescent="0.25">
      <c r="A34" s="1">
        <v>18</v>
      </c>
      <c r="B34" s="1">
        <f t="shared" si="4"/>
        <v>2034</v>
      </c>
      <c r="C34" s="216"/>
      <c r="D34" s="336">
        <f t="shared" si="3"/>
        <v>0</v>
      </c>
      <c r="E34" s="336">
        <f t="shared" si="3"/>
        <v>0</v>
      </c>
      <c r="F34" s="336">
        <f t="shared" si="3"/>
        <v>0</v>
      </c>
      <c r="G34" s="1">
        <v>18</v>
      </c>
      <c r="H34" s="1">
        <f t="shared" si="5"/>
        <v>2034</v>
      </c>
      <c r="I34" s="78"/>
      <c r="J34" s="336">
        <f t="shared" si="6"/>
        <v>914</v>
      </c>
      <c r="K34" s="336">
        <f t="shared" si="6"/>
        <v>2716</v>
      </c>
      <c r="L34" s="336">
        <f t="shared" si="6"/>
        <v>10138.799999999999</v>
      </c>
      <c r="M34" s="1">
        <v>18</v>
      </c>
      <c r="N34" s="1">
        <f t="shared" si="7"/>
        <v>2034</v>
      </c>
      <c r="O34" s="78"/>
      <c r="P34" s="336">
        <f t="shared" si="8"/>
        <v>674.8</v>
      </c>
      <c r="Q34" s="336">
        <f t="shared" si="8"/>
        <v>1672</v>
      </c>
      <c r="R34" s="336">
        <f t="shared" si="8"/>
        <v>4542</v>
      </c>
      <c r="S34" s="1">
        <v>18</v>
      </c>
      <c r="T34" s="1">
        <f t="shared" si="9"/>
        <v>2034</v>
      </c>
      <c r="U34" s="78"/>
      <c r="V34" s="336">
        <f t="shared" si="10"/>
        <v>812.26</v>
      </c>
      <c r="W34" s="336">
        <f t="shared" si="10"/>
        <v>1933.88</v>
      </c>
      <c r="X34" s="336">
        <f t="shared" si="10"/>
        <v>4801.26</v>
      </c>
    </row>
    <row r="35" spans="1:24" s="109" customFormat="1" ht="15" x14ac:dyDescent="0.25">
      <c r="A35" s="1">
        <v>19</v>
      </c>
      <c r="B35" s="1">
        <f t="shared" si="4"/>
        <v>2035</v>
      </c>
      <c r="C35" s="216"/>
      <c r="D35" s="336">
        <f t="shared" si="3"/>
        <v>0</v>
      </c>
      <c r="E35" s="336">
        <f t="shared" si="3"/>
        <v>0</v>
      </c>
      <c r="F35" s="336">
        <f t="shared" si="3"/>
        <v>0</v>
      </c>
      <c r="G35" s="1">
        <v>19</v>
      </c>
      <c r="H35" s="1">
        <f t="shared" si="5"/>
        <v>2035</v>
      </c>
      <c r="I35" s="78"/>
      <c r="J35" s="336">
        <f t="shared" si="6"/>
        <v>914</v>
      </c>
      <c r="K35" s="336">
        <f t="shared" si="6"/>
        <v>2716</v>
      </c>
      <c r="L35" s="336">
        <f t="shared" si="6"/>
        <v>10138.799999999999</v>
      </c>
      <c r="M35" s="1">
        <v>19</v>
      </c>
      <c r="N35" s="1">
        <f t="shared" si="7"/>
        <v>2035</v>
      </c>
      <c r="O35" s="78"/>
      <c r="P35" s="336">
        <f t="shared" si="8"/>
        <v>674.8</v>
      </c>
      <c r="Q35" s="336">
        <f t="shared" si="8"/>
        <v>1672</v>
      </c>
      <c r="R35" s="336">
        <f t="shared" si="8"/>
        <v>4542</v>
      </c>
      <c r="S35" s="1">
        <v>19</v>
      </c>
      <c r="T35" s="1">
        <f t="shared" si="9"/>
        <v>2035</v>
      </c>
      <c r="U35" s="78"/>
      <c r="V35" s="336">
        <f t="shared" si="10"/>
        <v>812.26</v>
      </c>
      <c r="W35" s="336">
        <f t="shared" si="10"/>
        <v>1933.88</v>
      </c>
      <c r="X35" s="336">
        <f t="shared" si="10"/>
        <v>4801.26</v>
      </c>
    </row>
    <row r="36" spans="1:24" s="109" customFormat="1" ht="15" x14ac:dyDescent="0.25">
      <c r="A36" s="1">
        <v>20</v>
      </c>
      <c r="B36" s="1">
        <f t="shared" si="4"/>
        <v>2036</v>
      </c>
      <c r="C36" s="216"/>
      <c r="D36" s="336">
        <f t="shared" si="3"/>
        <v>0</v>
      </c>
      <c r="E36" s="336">
        <f t="shared" si="3"/>
        <v>0</v>
      </c>
      <c r="F36" s="336">
        <f t="shared" si="3"/>
        <v>0</v>
      </c>
      <c r="G36" s="1">
        <v>20</v>
      </c>
      <c r="H36" s="1">
        <f t="shared" si="5"/>
        <v>2036</v>
      </c>
      <c r="I36" s="78"/>
      <c r="J36" s="336">
        <f t="shared" si="6"/>
        <v>914</v>
      </c>
      <c r="K36" s="336">
        <f t="shared" si="6"/>
        <v>2716</v>
      </c>
      <c r="L36" s="336">
        <f t="shared" si="6"/>
        <v>10138.799999999999</v>
      </c>
      <c r="M36" s="1">
        <v>20</v>
      </c>
      <c r="N36" s="1">
        <f t="shared" si="7"/>
        <v>2036</v>
      </c>
      <c r="O36" s="78"/>
      <c r="P36" s="336">
        <f t="shared" si="8"/>
        <v>674.8</v>
      </c>
      <c r="Q36" s="336">
        <f t="shared" si="8"/>
        <v>1672</v>
      </c>
      <c r="R36" s="336">
        <f t="shared" si="8"/>
        <v>4542</v>
      </c>
      <c r="S36" s="1">
        <v>20</v>
      </c>
      <c r="T36" s="1">
        <f t="shared" si="9"/>
        <v>2036</v>
      </c>
      <c r="U36" s="78"/>
      <c r="V36" s="336">
        <f t="shared" si="10"/>
        <v>812.26</v>
      </c>
      <c r="W36" s="336">
        <f t="shared" si="10"/>
        <v>1933.88</v>
      </c>
      <c r="X36" s="336">
        <f t="shared" si="10"/>
        <v>4801.26</v>
      </c>
    </row>
    <row r="37" spans="1:24" s="41" customFormat="1" ht="15" x14ac:dyDescent="0.25">
      <c r="A37" s="1">
        <v>21</v>
      </c>
      <c r="B37" s="1">
        <f t="shared" si="4"/>
        <v>2037</v>
      </c>
      <c r="C37" s="216"/>
      <c r="D37" s="336">
        <f t="shared" ref="D37:F56" si="11">(IF((AND($A37&gt;=$B$5,$A37&lt;=$C$5)),D$105,0)+IF((AND($A37&gt;=$B$6,$A37&lt;=$C$6)),D$106,0)+IF((AND($A37&gt;=$B$7,$A37&lt;=$C$7)),D$107,0)+IF((AND($A37&gt;=$B$8,$A37&lt;=$C$8)),D$108,0)+IF((AND($A37&gt;=$B$9,$A37&lt;=$C$9)),D$109,0)+IF((AND($A37&gt;=$B$10,$A37&lt;=$C$10)),D$110,0))</f>
        <v>0</v>
      </c>
      <c r="E37" s="336">
        <f t="shared" si="11"/>
        <v>0</v>
      </c>
      <c r="F37" s="336">
        <f t="shared" si="11"/>
        <v>0</v>
      </c>
      <c r="G37" s="1">
        <v>21</v>
      </c>
      <c r="H37" s="1">
        <f t="shared" si="5"/>
        <v>2037</v>
      </c>
      <c r="I37" s="1"/>
      <c r="J37" s="336">
        <f t="shared" si="6"/>
        <v>914</v>
      </c>
      <c r="K37" s="336">
        <f t="shared" si="6"/>
        <v>2716</v>
      </c>
      <c r="L37" s="336">
        <f t="shared" si="6"/>
        <v>10138.799999999999</v>
      </c>
      <c r="M37" s="1">
        <v>21</v>
      </c>
      <c r="N37" s="1">
        <f t="shared" si="7"/>
        <v>2037</v>
      </c>
      <c r="O37" s="1"/>
      <c r="P37" s="336">
        <f t="shared" si="8"/>
        <v>674.8</v>
      </c>
      <c r="Q37" s="336">
        <f t="shared" si="8"/>
        <v>1672</v>
      </c>
      <c r="R37" s="336">
        <f t="shared" si="8"/>
        <v>4542</v>
      </c>
      <c r="S37" s="1">
        <v>21</v>
      </c>
      <c r="T37" s="1">
        <f t="shared" si="9"/>
        <v>2037</v>
      </c>
      <c r="U37" s="1"/>
      <c r="V37" s="336">
        <f t="shared" si="10"/>
        <v>812.26</v>
      </c>
      <c r="W37" s="336">
        <f t="shared" si="10"/>
        <v>1933.88</v>
      </c>
      <c r="X37" s="336">
        <f t="shared" si="10"/>
        <v>4801.26</v>
      </c>
    </row>
    <row r="38" spans="1:24" s="41" customFormat="1" ht="15" x14ac:dyDescent="0.25">
      <c r="A38" s="1">
        <v>22</v>
      </c>
      <c r="B38" s="1">
        <f t="shared" si="4"/>
        <v>2038</v>
      </c>
      <c r="C38" s="216"/>
      <c r="D38" s="336">
        <f t="shared" si="11"/>
        <v>0</v>
      </c>
      <c r="E38" s="336">
        <f t="shared" si="11"/>
        <v>0</v>
      </c>
      <c r="F38" s="336">
        <f t="shared" si="11"/>
        <v>0</v>
      </c>
      <c r="G38" s="1">
        <v>22</v>
      </c>
      <c r="H38" s="1">
        <f t="shared" si="5"/>
        <v>2038</v>
      </c>
      <c r="I38" s="1"/>
      <c r="J38" s="336">
        <f t="shared" si="6"/>
        <v>914</v>
      </c>
      <c r="K38" s="336">
        <f t="shared" si="6"/>
        <v>2716</v>
      </c>
      <c r="L38" s="336">
        <f t="shared" si="6"/>
        <v>10138.799999999999</v>
      </c>
      <c r="M38" s="1">
        <v>22</v>
      </c>
      <c r="N38" s="1">
        <f t="shared" si="7"/>
        <v>2038</v>
      </c>
      <c r="O38" s="1"/>
      <c r="P38" s="336">
        <f t="shared" si="8"/>
        <v>674.8</v>
      </c>
      <c r="Q38" s="336">
        <f t="shared" si="8"/>
        <v>1672</v>
      </c>
      <c r="R38" s="336">
        <f t="shared" si="8"/>
        <v>4542</v>
      </c>
      <c r="S38" s="1">
        <v>22</v>
      </c>
      <c r="T38" s="1">
        <f t="shared" si="9"/>
        <v>2038</v>
      </c>
      <c r="U38" s="1"/>
      <c r="V38" s="336">
        <f t="shared" si="10"/>
        <v>812.26</v>
      </c>
      <c r="W38" s="336">
        <f t="shared" si="10"/>
        <v>1933.88</v>
      </c>
      <c r="X38" s="336">
        <f t="shared" si="10"/>
        <v>4801.26</v>
      </c>
    </row>
    <row r="39" spans="1:24" s="41" customFormat="1" ht="15" x14ac:dyDescent="0.25">
      <c r="A39" s="1">
        <v>23</v>
      </c>
      <c r="B39" s="1">
        <f t="shared" si="4"/>
        <v>2039</v>
      </c>
      <c r="C39" s="216"/>
      <c r="D39" s="336">
        <f t="shared" si="11"/>
        <v>0</v>
      </c>
      <c r="E39" s="336">
        <f t="shared" si="11"/>
        <v>0</v>
      </c>
      <c r="F39" s="336">
        <f t="shared" si="11"/>
        <v>0</v>
      </c>
      <c r="G39" s="1">
        <v>23</v>
      </c>
      <c r="H39" s="1">
        <f t="shared" si="5"/>
        <v>2039</v>
      </c>
      <c r="I39" s="1"/>
      <c r="J39" s="336">
        <f t="shared" si="6"/>
        <v>914</v>
      </c>
      <c r="K39" s="336">
        <f t="shared" si="6"/>
        <v>2716</v>
      </c>
      <c r="L39" s="336">
        <f t="shared" si="6"/>
        <v>10138.799999999999</v>
      </c>
      <c r="M39" s="1">
        <v>23</v>
      </c>
      <c r="N39" s="1">
        <f t="shared" si="7"/>
        <v>2039</v>
      </c>
      <c r="O39" s="1"/>
      <c r="P39" s="336">
        <f t="shared" si="8"/>
        <v>674.8</v>
      </c>
      <c r="Q39" s="336">
        <f t="shared" si="8"/>
        <v>1672</v>
      </c>
      <c r="R39" s="336">
        <f t="shared" si="8"/>
        <v>4542</v>
      </c>
      <c r="S39" s="1">
        <v>23</v>
      </c>
      <c r="T39" s="1">
        <f t="shared" si="9"/>
        <v>2039</v>
      </c>
      <c r="U39" s="1"/>
      <c r="V39" s="336">
        <f t="shared" si="10"/>
        <v>812.26</v>
      </c>
      <c r="W39" s="336">
        <f t="shared" si="10"/>
        <v>1933.88</v>
      </c>
      <c r="X39" s="336">
        <f t="shared" si="10"/>
        <v>4801.26</v>
      </c>
    </row>
    <row r="40" spans="1:24" s="41" customFormat="1" ht="15" x14ac:dyDescent="0.25">
      <c r="A40" s="1">
        <v>24</v>
      </c>
      <c r="B40" s="1">
        <f t="shared" si="4"/>
        <v>2040</v>
      </c>
      <c r="C40" s="216"/>
      <c r="D40" s="336">
        <f t="shared" si="11"/>
        <v>0</v>
      </c>
      <c r="E40" s="336">
        <f t="shared" si="11"/>
        <v>0</v>
      </c>
      <c r="F40" s="336">
        <f t="shared" si="11"/>
        <v>0</v>
      </c>
      <c r="G40" s="1">
        <v>24</v>
      </c>
      <c r="H40" s="1">
        <f t="shared" si="5"/>
        <v>2040</v>
      </c>
      <c r="I40" s="1"/>
      <c r="J40" s="336">
        <f t="shared" si="6"/>
        <v>914</v>
      </c>
      <c r="K40" s="336">
        <f t="shared" si="6"/>
        <v>2716</v>
      </c>
      <c r="L40" s="336">
        <f t="shared" si="6"/>
        <v>10138.799999999999</v>
      </c>
      <c r="M40" s="1">
        <v>24</v>
      </c>
      <c r="N40" s="1">
        <f t="shared" si="7"/>
        <v>2040</v>
      </c>
      <c r="O40" s="1"/>
      <c r="P40" s="336">
        <f t="shared" si="8"/>
        <v>674.8</v>
      </c>
      <c r="Q40" s="336">
        <f t="shared" si="8"/>
        <v>1672</v>
      </c>
      <c r="R40" s="336">
        <f t="shared" si="8"/>
        <v>4542</v>
      </c>
      <c r="S40" s="1">
        <v>24</v>
      </c>
      <c r="T40" s="1">
        <f t="shared" si="9"/>
        <v>2040</v>
      </c>
      <c r="U40" s="1"/>
      <c r="V40" s="336">
        <f t="shared" si="10"/>
        <v>812.26</v>
      </c>
      <c r="W40" s="336">
        <f t="shared" si="10"/>
        <v>1933.88</v>
      </c>
      <c r="X40" s="336">
        <f t="shared" si="10"/>
        <v>4801.26</v>
      </c>
    </row>
    <row r="41" spans="1:24" s="41" customFormat="1" ht="15" x14ac:dyDescent="0.25">
      <c r="A41" s="1">
        <v>25</v>
      </c>
      <c r="B41" s="1">
        <f t="shared" si="4"/>
        <v>2041</v>
      </c>
      <c r="C41" s="216"/>
      <c r="D41" s="336">
        <f t="shared" si="11"/>
        <v>0</v>
      </c>
      <c r="E41" s="336">
        <f t="shared" si="11"/>
        <v>0</v>
      </c>
      <c r="F41" s="336">
        <f t="shared" si="11"/>
        <v>0</v>
      </c>
      <c r="G41" s="1">
        <v>25</v>
      </c>
      <c r="H41" s="1">
        <f t="shared" si="5"/>
        <v>2041</v>
      </c>
      <c r="I41" s="1"/>
      <c r="J41" s="336">
        <f t="shared" si="6"/>
        <v>914</v>
      </c>
      <c r="K41" s="336">
        <f t="shared" si="6"/>
        <v>2716</v>
      </c>
      <c r="L41" s="336">
        <f t="shared" si="6"/>
        <v>10138.799999999999</v>
      </c>
      <c r="M41" s="1">
        <v>25</v>
      </c>
      <c r="N41" s="1">
        <f t="shared" si="7"/>
        <v>2041</v>
      </c>
      <c r="O41" s="1"/>
      <c r="P41" s="336">
        <f t="shared" si="8"/>
        <v>674.8</v>
      </c>
      <c r="Q41" s="336">
        <f t="shared" si="8"/>
        <v>1672</v>
      </c>
      <c r="R41" s="336">
        <f t="shared" si="8"/>
        <v>4542</v>
      </c>
      <c r="S41" s="1">
        <v>25</v>
      </c>
      <c r="T41" s="1">
        <f t="shared" si="9"/>
        <v>2041</v>
      </c>
      <c r="U41" s="1"/>
      <c r="V41" s="336">
        <f t="shared" si="10"/>
        <v>812.26</v>
      </c>
      <c r="W41" s="336">
        <f t="shared" si="10"/>
        <v>1933.88</v>
      </c>
      <c r="X41" s="336">
        <f t="shared" si="10"/>
        <v>4801.26</v>
      </c>
    </row>
    <row r="42" spans="1:24" s="109" customFormat="1" ht="15" x14ac:dyDescent="0.25">
      <c r="A42" s="1">
        <v>26</v>
      </c>
      <c r="B42" s="1">
        <f t="shared" si="4"/>
        <v>2042</v>
      </c>
      <c r="C42" s="216"/>
      <c r="D42" s="336">
        <f t="shared" si="11"/>
        <v>0</v>
      </c>
      <c r="E42" s="336">
        <f t="shared" si="11"/>
        <v>0</v>
      </c>
      <c r="F42" s="336">
        <f t="shared" si="11"/>
        <v>0</v>
      </c>
      <c r="G42" s="1">
        <v>26</v>
      </c>
      <c r="H42" s="1">
        <f t="shared" si="5"/>
        <v>2042</v>
      </c>
      <c r="I42" s="78"/>
      <c r="J42" s="336">
        <f t="shared" si="6"/>
        <v>914</v>
      </c>
      <c r="K42" s="336">
        <f t="shared" si="6"/>
        <v>2716</v>
      </c>
      <c r="L42" s="336">
        <f t="shared" si="6"/>
        <v>10138.799999999999</v>
      </c>
      <c r="M42" s="1">
        <v>26</v>
      </c>
      <c r="N42" s="1">
        <f t="shared" si="7"/>
        <v>2042</v>
      </c>
      <c r="O42" s="78"/>
      <c r="P42" s="336">
        <f t="shared" si="8"/>
        <v>674.8</v>
      </c>
      <c r="Q42" s="336">
        <f t="shared" si="8"/>
        <v>1672</v>
      </c>
      <c r="R42" s="336">
        <f t="shared" si="8"/>
        <v>4542</v>
      </c>
      <c r="S42" s="1">
        <v>26</v>
      </c>
      <c r="T42" s="1">
        <f t="shared" si="9"/>
        <v>2042</v>
      </c>
      <c r="U42" s="78"/>
      <c r="V42" s="336">
        <f t="shared" si="10"/>
        <v>812.26</v>
      </c>
      <c r="W42" s="336">
        <f t="shared" si="10"/>
        <v>1933.88</v>
      </c>
      <c r="X42" s="336">
        <f t="shared" si="10"/>
        <v>4801.26</v>
      </c>
    </row>
    <row r="43" spans="1:24" s="109" customFormat="1" ht="15" x14ac:dyDescent="0.25">
      <c r="A43" s="1">
        <v>27</v>
      </c>
      <c r="B43" s="1">
        <f t="shared" si="4"/>
        <v>2043</v>
      </c>
      <c r="C43" s="216"/>
      <c r="D43" s="336">
        <f t="shared" si="11"/>
        <v>0</v>
      </c>
      <c r="E43" s="336">
        <f t="shared" si="11"/>
        <v>0</v>
      </c>
      <c r="F43" s="336">
        <f t="shared" si="11"/>
        <v>0</v>
      </c>
      <c r="G43" s="1">
        <v>27</v>
      </c>
      <c r="H43" s="1">
        <f t="shared" si="5"/>
        <v>2043</v>
      </c>
      <c r="I43" s="78"/>
      <c r="J43" s="336">
        <f t="shared" si="6"/>
        <v>914</v>
      </c>
      <c r="K43" s="336">
        <f t="shared" si="6"/>
        <v>2716</v>
      </c>
      <c r="L43" s="336">
        <f t="shared" si="6"/>
        <v>10138.799999999999</v>
      </c>
      <c r="M43" s="1">
        <v>27</v>
      </c>
      <c r="N43" s="1">
        <f t="shared" si="7"/>
        <v>2043</v>
      </c>
      <c r="O43" s="78"/>
      <c r="P43" s="336">
        <f t="shared" si="8"/>
        <v>674.8</v>
      </c>
      <c r="Q43" s="336">
        <f t="shared" si="8"/>
        <v>1672</v>
      </c>
      <c r="R43" s="336">
        <f t="shared" si="8"/>
        <v>4542</v>
      </c>
      <c r="S43" s="1">
        <v>27</v>
      </c>
      <c r="T43" s="1">
        <f t="shared" si="9"/>
        <v>2043</v>
      </c>
      <c r="U43" s="78"/>
      <c r="V43" s="336">
        <f t="shared" si="10"/>
        <v>812.26</v>
      </c>
      <c r="W43" s="336">
        <f t="shared" si="10"/>
        <v>1933.88</v>
      </c>
      <c r="X43" s="336">
        <f t="shared" si="10"/>
        <v>4801.26</v>
      </c>
    </row>
    <row r="44" spans="1:24" s="41" customFormat="1" ht="15" x14ac:dyDescent="0.25">
      <c r="A44" s="1">
        <v>28</v>
      </c>
      <c r="B44" s="1">
        <f t="shared" si="4"/>
        <v>2044</v>
      </c>
      <c r="C44" s="216"/>
      <c r="D44" s="336">
        <f t="shared" si="11"/>
        <v>0</v>
      </c>
      <c r="E44" s="336">
        <f t="shared" si="11"/>
        <v>0</v>
      </c>
      <c r="F44" s="336">
        <f t="shared" si="11"/>
        <v>0</v>
      </c>
      <c r="G44" s="1">
        <v>28</v>
      </c>
      <c r="H44" s="1">
        <f t="shared" si="5"/>
        <v>2044</v>
      </c>
      <c r="I44" s="1"/>
      <c r="J44" s="336">
        <f t="shared" si="6"/>
        <v>914</v>
      </c>
      <c r="K44" s="336">
        <f t="shared" si="6"/>
        <v>2716</v>
      </c>
      <c r="L44" s="336">
        <f t="shared" si="6"/>
        <v>10138.799999999999</v>
      </c>
      <c r="M44" s="1">
        <v>28</v>
      </c>
      <c r="N44" s="1">
        <f t="shared" si="7"/>
        <v>2044</v>
      </c>
      <c r="O44" s="1"/>
      <c r="P44" s="336">
        <f t="shared" si="8"/>
        <v>674.8</v>
      </c>
      <c r="Q44" s="336">
        <f t="shared" si="8"/>
        <v>1672</v>
      </c>
      <c r="R44" s="336">
        <f t="shared" si="8"/>
        <v>4542</v>
      </c>
      <c r="S44" s="1">
        <v>28</v>
      </c>
      <c r="T44" s="1">
        <f t="shared" si="9"/>
        <v>2044</v>
      </c>
      <c r="U44" s="1"/>
      <c r="V44" s="336">
        <f t="shared" si="10"/>
        <v>812.26</v>
      </c>
      <c r="W44" s="336">
        <f t="shared" si="10"/>
        <v>1933.88</v>
      </c>
      <c r="X44" s="336">
        <f t="shared" si="10"/>
        <v>4801.26</v>
      </c>
    </row>
    <row r="45" spans="1:24" s="41" customFormat="1" ht="15" x14ac:dyDescent="0.25">
      <c r="A45" s="1">
        <v>29</v>
      </c>
      <c r="B45" s="1">
        <f t="shared" si="4"/>
        <v>2045</v>
      </c>
      <c r="C45" s="216"/>
      <c r="D45" s="336">
        <f t="shared" si="11"/>
        <v>0</v>
      </c>
      <c r="E45" s="336">
        <f t="shared" si="11"/>
        <v>0</v>
      </c>
      <c r="F45" s="336">
        <f t="shared" si="11"/>
        <v>0</v>
      </c>
      <c r="G45" s="1">
        <v>29</v>
      </c>
      <c r="H45" s="1">
        <f t="shared" si="5"/>
        <v>2045</v>
      </c>
      <c r="I45" s="1"/>
      <c r="J45" s="336">
        <f t="shared" si="6"/>
        <v>914</v>
      </c>
      <c r="K45" s="336">
        <f t="shared" si="6"/>
        <v>2716</v>
      </c>
      <c r="L45" s="336">
        <f t="shared" si="6"/>
        <v>10138.799999999999</v>
      </c>
      <c r="M45" s="1">
        <v>29</v>
      </c>
      <c r="N45" s="1">
        <f t="shared" si="7"/>
        <v>2045</v>
      </c>
      <c r="O45" s="1"/>
      <c r="P45" s="336">
        <f t="shared" si="8"/>
        <v>674.8</v>
      </c>
      <c r="Q45" s="336">
        <f t="shared" si="8"/>
        <v>1672</v>
      </c>
      <c r="R45" s="336">
        <f t="shared" si="8"/>
        <v>4542</v>
      </c>
      <c r="S45" s="1">
        <v>29</v>
      </c>
      <c r="T45" s="1">
        <f t="shared" si="9"/>
        <v>2045</v>
      </c>
      <c r="U45" s="1"/>
      <c r="V45" s="336">
        <f t="shared" si="10"/>
        <v>812.26</v>
      </c>
      <c r="W45" s="336">
        <f t="shared" si="10"/>
        <v>1933.88</v>
      </c>
      <c r="X45" s="336">
        <f t="shared" si="10"/>
        <v>4801.26</v>
      </c>
    </row>
    <row r="46" spans="1:24" s="41" customFormat="1" ht="15" x14ac:dyDescent="0.25">
      <c r="A46" s="1">
        <v>30</v>
      </c>
      <c r="B46" s="1">
        <f t="shared" si="4"/>
        <v>2046</v>
      </c>
      <c r="C46" s="216"/>
      <c r="D46" s="336">
        <f t="shared" si="11"/>
        <v>0</v>
      </c>
      <c r="E46" s="336">
        <f t="shared" si="11"/>
        <v>0</v>
      </c>
      <c r="F46" s="336">
        <f t="shared" si="11"/>
        <v>0</v>
      </c>
      <c r="G46" s="1">
        <v>30</v>
      </c>
      <c r="H46" s="1">
        <f t="shared" si="5"/>
        <v>2046</v>
      </c>
      <c r="I46" s="1"/>
      <c r="J46" s="336">
        <f t="shared" si="6"/>
        <v>914</v>
      </c>
      <c r="K46" s="336">
        <f t="shared" si="6"/>
        <v>2716</v>
      </c>
      <c r="L46" s="336">
        <f t="shared" si="6"/>
        <v>10138.799999999999</v>
      </c>
      <c r="M46" s="1">
        <v>30</v>
      </c>
      <c r="N46" s="1">
        <f t="shared" si="7"/>
        <v>2046</v>
      </c>
      <c r="O46" s="1"/>
      <c r="P46" s="336">
        <f t="shared" si="8"/>
        <v>674.8</v>
      </c>
      <c r="Q46" s="336">
        <f t="shared" si="8"/>
        <v>1672</v>
      </c>
      <c r="R46" s="336">
        <f t="shared" si="8"/>
        <v>4542</v>
      </c>
      <c r="S46" s="1">
        <v>30</v>
      </c>
      <c r="T46" s="1">
        <f t="shared" si="9"/>
        <v>2046</v>
      </c>
      <c r="U46" s="1"/>
      <c r="V46" s="336">
        <f t="shared" si="10"/>
        <v>812.26</v>
      </c>
      <c r="W46" s="336">
        <f t="shared" si="10"/>
        <v>1933.88</v>
      </c>
      <c r="X46" s="336">
        <f t="shared" si="10"/>
        <v>4801.26</v>
      </c>
    </row>
    <row r="47" spans="1:24" s="41" customFormat="1" ht="15" x14ac:dyDescent="0.25">
      <c r="A47" s="1">
        <v>31</v>
      </c>
      <c r="B47" s="1">
        <f t="shared" si="4"/>
        <v>2047</v>
      </c>
      <c r="C47" s="216"/>
      <c r="D47" s="217">
        <f t="shared" si="11"/>
        <v>0</v>
      </c>
      <c r="E47" s="217">
        <f t="shared" si="11"/>
        <v>0</v>
      </c>
      <c r="F47" s="217">
        <f t="shared" si="11"/>
        <v>0</v>
      </c>
      <c r="G47" s="1">
        <v>31</v>
      </c>
      <c r="H47" s="1">
        <f t="shared" si="5"/>
        <v>2047</v>
      </c>
      <c r="I47" s="1"/>
      <c r="J47" s="217">
        <f t="shared" si="6"/>
        <v>0</v>
      </c>
      <c r="K47" s="217">
        <f t="shared" si="6"/>
        <v>0</v>
      </c>
      <c r="L47" s="217">
        <f t="shared" si="6"/>
        <v>0</v>
      </c>
      <c r="M47" s="1">
        <v>31</v>
      </c>
      <c r="N47" s="1">
        <f t="shared" si="7"/>
        <v>2047</v>
      </c>
      <c r="O47" s="1"/>
      <c r="P47" s="217">
        <f t="shared" si="8"/>
        <v>0</v>
      </c>
      <c r="Q47" s="217">
        <f t="shared" si="8"/>
        <v>0</v>
      </c>
      <c r="R47" s="217">
        <f t="shared" si="8"/>
        <v>0</v>
      </c>
      <c r="S47" s="1">
        <v>31</v>
      </c>
      <c r="T47" s="1">
        <f t="shared" si="9"/>
        <v>2047</v>
      </c>
      <c r="U47" s="1"/>
      <c r="V47" s="336">
        <f t="shared" si="10"/>
        <v>0</v>
      </c>
      <c r="W47" s="336">
        <f t="shared" si="10"/>
        <v>0</v>
      </c>
      <c r="X47" s="336">
        <f t="shared" si="10"/>
        <v>0</v>
      </c>
    </row>
    <row r="48" spans="1:24" s="41" customFormat="1" ht="15" x14ac:dyDescent="0.25">
      <c r="A48" s="1">
        <v>32</v>
      </c>
      <c r="B48" s="1">
        <f t="shared" si="4"/>
        <v>2048</v>
      </c>
      <c r="C48" s="216"/>
      <c r="D48" s="217">
        <f t="shared" si="11"/>
        <v>0</v>
      </c>
      <c r="E48" s="217">
        <f t="shared" si="11"/>
        <v>0</v>
      </c>
      <c r="F48" s="217">
        <f t="shared" si="11"/>
        <v>0</v>
      </c>
      <c r="G48" s="1">
        <v>32</v>
      </c>
      <c r="H48" s="1">
        <f t="shared" si="5"/>
        <v>2048</v>
      </c>
      <c r="I48" s="1"/>
      <c r="J48" s="217">
        <f t="shared" si="6"/>
        <v>0</v>
      </c>
      <c r="K48" s="217">
        <f t="shared" si="6"/>
        <v>0</v>
      </c>
      <c r="L48" s="217">
        <f t="shared" si="6"/>
        <v>0</v>
      </c>
      <c r="M48" s="1">
        <v>32</v>
      </c>
      <c r="N48" s="1">
        <f t="shared" si="7"/>
        <v>2048</v>
      </c>
      <c r="O48" s="1"/>
      <c r="P48" s="217">
        <f t="shared" si="8"/>
        <v>0</v>
      </c>
      <c r="Q48" s="217">
        <f t="shared" si="8"/>
        <v>0</v>
      </c>
      <c r="R48" s="217">
        <f t="shared" si="8"/>
        <v>0</v>
      </c>
      <c r="S48" s="1">
        <v>32</v>
      </c>
      <c r="T48" s="1">
        <f t="shared" si="9"/>
        <v>2048</v>
      </c>
      <c r="U48" s="1"/>
      <c r="V48" s="336">
        <f t="shared" si="10"/>
        <v>0</v>
      </c>
      <c r="W48" s="336">
        <f t="shared" si="10"/>
        <v>0</v>
      </c>
      <c r="X48" s="336">
        <f t="shared" si="10"/>
        <v>0</v>
      </c>
    </row>
    <row r="49" spans="1:24" s="41" customFormat="1" ht="15" x14ac:dyDescent="0.25">
      <c r="A49" s="1">
        <v>33</v>
      </c>
      <c r="B49" s="1">
        <f t="shared" si="4"/>
        <v>2049</v>
      </c>
      <c r="C49" s="216"/>
      <c r="D49" s="217">
        <f t="shared" si="11"/>
        <v>0</v>
      </c>
      <c r="E49" s="217">
        <f t="shared" si="11"/>
        <v>0</v>
      </c>
      <c r="F49" s="217">
        <f t="shared" si="11"/>
        <v>0</v>
      </c>
      <c r="G49" s="1">
        <v>33</v>
      </c>
      <c r="H49" s="1">
        <f t="shared" si="5"/>
        <v>2049</v>
      </c>
      <c r="I49" s="1"/>
      <c r="J49" s="217">
        <f t="shared" si="6"/>
        <v>0</v>
      </c>
      <c r="K49" s="217">
        <f t="shared" si="6"/>
        <v>0</v>
      </c>
      <c r="L49" s="217">
        <f t="shared" si="6"/>
        <v>0</v>
      </c>
      <c r="M49" s="1">
        <v>33</v>
      </c>
      <c r="N49" s="1">
        <f t="shared" si="7"/>
        <v>2049</v>
      </c>
      <c r="O49" s="1"/>
      <c r="P49" s="217">
        <f t="shared" si="8"/>
        <v>0</v>
      </c>
      <c r="Q49" s="217">
        <f t="shared" si="8"/>
        <v>0</v>
      </c>
      <c r="R49" s="217">
        <f t="shared" si="8"/>
        <v>0</v>
      </c>
      <c r="S49" s="1">
        <v>33</v>
      </c>
      <c r="T49" s="1">
        <f t="shared" si="9"/>
        <v>2049</v>
      </c>
      <c r="U49" s="1"/>
      <c r="V49" s="336">
        <f t="shared" si="10"/>
        <v>0</v>
      </c>
      <c r="W49" s="336">
        <f t="shared" si="10"/>
        <v>0</v>
      </c>
      <c r="X49" s="336">
        <f t="shared" si="10"/>
        <v>0</v>
      </c>
    </row>
    <row r="50" spans="1:24" s="41" customFormat="1" ht="15" x14ac:dyDescent="0.25">
      <c r="A50" s="1">
        <v>34</v>
      </c>
      <c r="B50" s="1">
        <f t="shared" si="4"/>
        <v>2050</v>
      </c>
      <c r="C50" s="216"/>
      <c r="D50" s="217">
        <f t="shared" si="11"/>
        <v>0</v>
      </c>
      <c r="E50" s="217">
        <f t="shared" si="11"/>
        <v>0</v>
      </c>
      <c r="F50" s="217">
        <f t="shared" si="11"/>
        <v>0</v>
      </c>
      <c r="G50" s="1">
        <v>34</v>
      </c>
      <c r="H50" s="1">
        <f t="shared" si="5"/>
        <v>2050</v>
      </c>
      <c r="I50" s="1"/>
      <c r="J50" s="217">
        <f t="shared" ref="J50:L81" si="12">(IF((AND($G50&gt;=$H$5,$G50&lt;=$I$5)),J$105,0)+IF((AND($G50&gt;=$H$6,$G50&lt;=$I$6)),J$106,0)+IF((AND($G50&gt;=$H$7,$G50&lt;=$I$7)),J$107,0)+IF((AND($G50&gt;=$H$8,$G50&lt;=$I$8)),J$108,0)+IF((AND($G50&gt;=$H$9,$G50&lt;=$I$9)),J$109,0)+IF((AND($G50&gt;=$H$10,$G50&lt;=$I$10)),J$110,0))</f>
        <v>0</v>
      </c>
      <c r="K50" s="217">
        <f t="shared" si="12"/>
        <v>0</v>
      </c>
      <c r="L50" s="217">
        <f t="shared" si="12"/>
        <v>0</v>
      </c>
      <c r="M50" s="1">
        <v>34</v>
      </c>
      <c r="N50" s="1">
        <f t="shared" si="7"/>
        <v>2050</v>
      </c>
      <c r="O50" s="1"/>
      <c r="P50" s="217">
        <f t="shared" ref="P50:R81" si="13">(IF((AND($M50&gt;=$N$5,$M50&lt;=$O$5)),P$105,0)+IF((AND($M50&gt;=$N$6,$M50&lt;=$O$6)),P$106,0)+IF((AND($M50&gt;=$N$7,$M50&lt;=$O$7)),P$107,0)+IF((AND($M50&gt;=$N$8,$M50&lt;=$O$8)),P$108,0)+IF((AND($M50&gt;=$N$9,$M50&lt;=$O$9)),P$109,0)+IF((AND($M50&gt;=$N$10,$M50&lt;=$O$10)),P$110,0))</f>
        <v>0</v>
      </c>
      <c r="Q50" s="217">
        <f t="shared" si="13"/>
        <v>0</v>
      </c>
      <c r="R50" s="217">
        <f t="shared" si="13"/>
        <v>0</v>
      </c>
      <c r="S50" s="1">
        <v>34</v>
      </c>
      <c r="T50" s="1">
        <f t="shared" si="9"/>
        <v>2050</v>
      </c>
      <c r="U50" s="1"/>
      <c r="V50" s="336">
        <f t="shared" ref="V50:X81" si="14">(IF((AND($M50&gt;=$N$5,$M50&lt;=$O$5)),V$105,0)+IF((AND($M50&gt;=$N$6,$M50&lt;=$O$6)),V$106,0)+IF((AND($M50&gt;=$N$7,$M50&lt;=$O$7)),V$107,0)+IF((AND($M50&gt;=$N$8,$M50&lt;=$O$8)),V$108,0)+IF((AND($M50&gt;=$N$9,$M50&lt;=$O$9)),V$109,0)+IF((AND($M50&gt;=$N$10,$M50&lt;=$O$10)),V$110,0))</f>
        <v>0</v>
      </c>
      <c r="W50" s="336">
        <f t="shared" si="14"/>
        <v>0</v>
      </c>
      <c r="X50" s="336">
        <f t="shared" si="14"/>
        <v>0</v>
      </c>
    </row>
    <row r="51" spans="1:24" s="41" customFormat="1" ht="15" x14ac:dyDescent="0.25">
      <c r="A51" s="1">
        <v>35</v>
      </c>
      <c r="B51" s="1">
        <f t="shared" si="4"/>
        <v>2051</v>
      </c>
      <c r="C51" s="216"/>
      <c r="D51" s="217">
        <f t="shared" si="11"/>
        <v>0</v>
      </c>
      <c r="E51" s="217">
        <f t="shared" si="11"/>
        <v>0</v>
      </c>
      <c r="F51" s="217">
        <f t="shared" si="11"/>
        <v>0</v>
      </c>
      <c r="G51" s="1">
        <v>35</v>
      </c>
      <c r="H51" s="1">
        <f t="shared" si="5"/>
        <v>2051</v>
      </c>
      <c r="I51" s="1"/>
      <c r="J51" s="217">
        <f t="shared" si="12"/>
        <v>0</v>
      </c>
      <c r="K51" s="217">
        <f t="shared" si="12"/>
        <v>0</v>
      </c>
      <c r="L51" s="217">
        <f t="shared" si="12"/>
        <v>0</v>
      </c>
      <c r="M51" s="1">
        <v>35</v>
      </c>
      <c r="N51" s="1">
        <f t="shared" si="7"/>
        <v>2051</v>
      </c>
      <c r="O51" s="1"/>
      <c r="P51" s="217">
        <f t="shared" si="13"/>
        <v>0</v>
      </c>
      <c r="Q51" s="217">
        <f t="shared" si="13"/>
        <v>0</v>
      </c>
      <c r="R51" s="217">
        <f t="shared" si="13"/>
        <v>0</v>
      </c>
      <c r="S51" s="1">
        <v>35</v>
      </c>
      <c r="T51" s="1">
        <f t="shared" si="9"/>
        <v>2051</v>
      </c>
      <c r="U51" s="1"/>
      <c r="V51" s="336">
        <f t="shared" si="14"/>
        <v>0</v>
      </c>
      <c r="W51" s="336">
        <f t="shared" si="14"/>
        <v>0</v>
      </c>
      <c r="X51" s="336">
        <f t="shared" si="14"/>
        <v>0</v>
      </c>
    </row>
    <row r="52" spans="1:24" s="39" customFormat="1" ht="15" x14ac:dyDescent="0.25">
      <c r="A52" s="1">
        <v>36</v>
      </c>
      <c r="B52" s="1">
        <f t="shared" si="4"/>
        <v>2052</v>
      </c>
      <c r="C52" s="216"/>
      <c r="D52" s="217">
        <f t="shared" si="11"/>
        <v>0</v>
      </c>
      <c r="E52" s="217">
        <f t="shared" si="11"/>
        <v>0</v>
      </c>
      <c r="F52" s="217">
        <f t="shared" si="11"/>
        <v>0</v>
      </c>
      <c r="G52" s="1">
        <v>36</v>
      </c>
      <c r="H52" s="1">
        <f t="shared" si="5"/>
        <v>2052</v>
      </c>
      <c r="I52" s="2"/>
      <c r="J52" s="217">
        <f t="shared" si="12"/>
        <v>0</v>
      </c>
      <c r="K52" s="217">
        <f t="shared" si="12"/>
        <v>0</v>
      </c>
      <c r="L52" s="217">
        <f t="shared" si="12"/>
        <v>0</v>
      </c>
      <c r="M52" s="1">
        <v>36</v>
      </c>
      <c r="N52" s="1">
        <f t="shared" si="7"/>
        <v>2052</v>
      </c>
      <c r="O52" s="2"/>
      <c r="P52" s="217">
        <f t="shared" si="13"/>
        <v>0</v>
      </c>
      <c r="Q52" s="217">
        <f t="shared" si="13"/>
        <v>0</v>
      </c>
      <c r="R52" s="217">
        <f t="shared" si="13"/>
        <v>0</v>
      </c>
      <c r="S52" s="1">
        <v>36</v>
      </c>
      <c r="T52" s="1">
        <f t="shared" si="9"/>
        <v>2052</v>
      </c>
      <c r="U52" s="2"/>
      <c r="V52" s="336">
        <f t="shared" si="14"/>
        <v>0</v>
      </c>
      <c r="W52" s="336">
        <f t="shared" si="14"/>
        <v>0</v>
      </c>
      <c r="X52" s="336">
        <f t="shared" si="14"/>
        <v>0</v>
      </c>
    </row>
    <row r="53" spans="1:24" s="39" customFormat="1" ht="15" x14ac:dyDescent="0.25">
      <c r="A53" s="1">
        <v>37</v>
      </c>
      <c r="B53" s="1">
        <f t="shared" si="4"/>
        <v>2053</v>
      </c>
      <c r="C53" s="216"/>
      <c r="D53" s="217">
        <f t="shared" si="11"/>
        <v>0</v>
      </c>
      <c r="E53" s="217">
        <f t="shared" si="11"/>
        <v>0</v>
      </c>
      <c r="F53" s="217">
        <f t="shared" si="11"/>
        <v>0</v>
      </c>
      <c r="G53" s="1">
        <v>37</v>
      </c>
      <c r="H53" s="1">
        <f t="shared" si="5"/>
        <v>2053</v>
      </c>
      <c r="I53" s="2"/>
      <c r="J53" s="217">
        <f t="shared" si="12"/>
        <v>0</v>
      </c>
      <c r="K53" s="217">
        <f t="shared" si="12"/>
        <v>0</v>
      </c>
      <c r="L53" s="217">
        <f t="shared" si="12"/>
        <v>0</v>
      </c>
      <c r="M53" s="1">
        <v>37</v>
      </c>
      <c r="N53" s="1">
        <f t="shared" si="7"/>
        <v>2053</v>
      </c>
      <c r="O53" s="2"/>
      <c r="P53" s="217">
        <f t="shared" si="13"/>
        <v>0</v>
      </c>
      <c r="Q53" s="217">
        <f t="shared" si="13"/>
        <v>0</v>
      </c>
      <c r="R53" s="217">
        <f t="shared" si="13"/>
        <v>0</v>
      </c>
      <c r="S53" s="1">
        <v>37</v>
      </c>
      <c r="T53" s="1">
        <f t="shared" si="9"/>
        <v>2053</v>
      </c>
      <c r="U53" s="2"/>
      <c r="V53" s="336">
        <f t="shared" si="14"/>
        <v>0</v>
      </c>
      <c r="W53" s="336">
        <f t="shared" si="14"/>
        <v>0</v>
      </c>
      <c r="X53" s="336">
        <f t="shared" si="14"/>
        <v>0</v>
      </c>
    </row>
    <row r="54" spans="1:24" s="41" customFormat="1" ht="15" x14ac:dyDescent="0.25">
      <c r="A54" s="1">
        <v>38</v>
      </c>
      <c r="B54" s="1">
        <f t="shared" si="4"/>
        <v>2054</v>
      </c>
      <c r="C54" s="216"/>
      <c r="D54" s="217">
        <f t="shared" si="11"/>
        <v>0</v>
      </c>
      <c r="E54" s="217">
        <f t="shared" si="11"/>
        <v>0</v>
      </c>
      <c r="F54" s="217">
        <f t="shared" si="11"/>
        <v>0</v>
      </c>
      <c r="G54" s="1">
        <v>38</v>
      </c>
      <c r="H54" s="1">
        <f t="shared" si="5"/>
        <v>2054</v>
      </c>
      <c r="I54" s="1"/>
      <c r="J54" s="217">
        <f t="shared" si="12"/>
        <v>0</v>
      </c>
      <c r="K54" s="217">
        <f t="shared" si="12"/>
        <v>0</v>
      </c>
      <c r="L54" s="217">
        <f t="shared" si="12"/>
        <v>0</v>
      </c>
      <c r="M54" s="1">
        <v>38</v>
      </c>
      <c r="N54" s="1">
        <f t="shared" si="7"/>
        <v>2054</v>
      </c>
      <c r="O54" s="1"/>
      <c r="P54" s="217">
        <f t="shared" si="13"/>
        <v>0</v>
      </c>
      <c r="Q54" s="217">
        <f t="shared" si="13"/>
        <v>0</v>
      </c>
      <c r="R54" s="217">
        <f t="shared" si="13"/>
        <v>0</v>
      </c>
      <c r="S54" s="1">
        <v>38</v>
      </c>
      <c r="T54" s="1">
        <f t="shared" si="9"/>
        <v>2054</v>
      </c>
      <c r="U54" s="1"/>
      <c r="V54" s="336">
        <f t="shared" si="14"/>
        <v>0</v>
      </c>
      <c r="W54" s="336">
        <f t="shared" si="14"/>
        <v>0</v>
      </c>
      <c r="X54" s="336">
        <f t="shared" si="14"/>
        <v>0</v>
      </c>
    </row>
    <row r="55" spans="1:24" s="41" customFormat="1" ht="15" x14ac:dyDescent="0.25">
      <c r="A55" s="1">
        <v>39</v>
      </c>
      <c r="B55" s="1">
        <f t="shared" si="4"/>
        <v>2055</v>
      </c>
      <c r="C55" s="216"/>
      <c r="D55" s="217">
        <f t="shared" si="11"/>
        <v>0</v>
      </c>
      <c r="E55" s="217">
        <f t="shared" si="11"/>
        <v>0</v>
      </c>
      <c r="F55" s="217">
        <f t="shared" si="11"/>
        <v>0</v>
      </c>
      <c r="G55" s="1">
        <v>39</v>
      </c>
      <c r="H55" s="1">
        <f t="shared" si="5"/>
        <v>2055</v>
      </c>
      <c r="I55" s="1"/>
      <c r="J55" s="217">
        <f t="shared" si="12"/>
        <v>0</v>
      </c>
      <c r="K55" s="217">
        <f t="shared" si="12"/>
        <v>0</v>
      </c>
      <c r="L55" s="217">
        <f t="shared" si="12"/>
        <v>0</v>
      </c>
      <c r="M55" s="1">
        <v>39</v>
      </c>
      <c r="N55" s="1">
        <f t="shared" si="7"/>
        <v>2055</v>
      </c>
      <c r="O55" s="1"/>
      <c r="P55" s="217">
        <f t="shared" si="13"/>
        <v>0</v>
      </c>
      <c r="Q55" s="217">
        <f t="shared" si="13"/>
        <v>0</v>
      </c>
      <c r="R55" s="217">
        <f t="shared" si="13"/>
        <v>0</v>
      </c>
      <c r="S55" s="1">
        <v>39</v>
      </c>
      <c r="T55" s="1">
        <f t="shared" si="9"/>
        <v>2055</v>
      </c>
      <c r="U55" s="1"/>
      <c r="V55" s="336">
        <f t="shared" si="14"/>
        <v>0</v>
      </c>
      <c r="W55" s="336">
        <f t="shared" si="14"/>
        <v>0</v>
      </c>
      <c r="X55" s="336">
        <f t="shared" si="14"/>
        <v>0</v>
      </c>
    </row>
    <row r="56" spans="1:24" s="41" customFormat="1" ht="15" x14ac:dyDescent="0.25">
      <c r="A56" s="1">
        <v>40</v>
      </c>
      <c r="B56" s="1">
        <f t="shared" si="4"/>
        <v>2056</v>
      </c>
      <c r="C56" s="216"/>
      <c r="D56" s="217">
        <f t="shared" si="11"/>
        <v>0</v>
      </c>
      <c r="E56" s="217">
        <f t="shared" si="11"/>
        <v>0</v>
      </c>
      <c r="F56" s="217">
        <f t="shared" si="11"/>
        <v>0</v>
      </c>
      <c r="G56" s="1">
        <v>40</v>
      </c>
      <c r="H56" s="1">
        <f t="shared" si="5"/>
        <v>2056</v>
      </c>
      <c r="I56" s="1"/>
      <c r="J56" s="217">
        <f t="shared" si="12"/>
        <v>0</v>
      </c>
      <c r="K56" s="217">
        <f t="shared" si="12"/>
        <v>0</v>
      </c>
      <c r="L56" s="217">
        <f t="shared" si="12"/>
        <v>0</v>
      </c>
      <c r="M56" s="1">
        <v>40</v>
      </c>
      <c r="N56" s="1">
        <f t="shared" si="7"/>
        <v>2056</v>
      </c>
      <c r="O56" s="1"/>
      <c r="P56" s="217">
        <f t="shared" si="13"/>
        <v>0</v>
      </c>
      <c r="Q56" s="217">
        <f t="shared" si="13"/>
        <v>0</v>
      </c>
      <c r="R56" s="217">
        <f t="shared" si="13"/>
        <v>0</v>
      </c>
      <c r="S56" s="1">
        <v>40</v>
      </c>
      <c r="T56" s="1">
        <f t="shared" si="9"/>
        <v>2056</v>
      </c>
      <c r="U56" s="1"/>
      <c r="V56" s="336">
        <f t="shared" si="14"/>
        <v>0</v>
      </c>
      <c r="W56" s="336">
        <f t="shared" si="14"/>
        <v>0</v>
      </c>
      <c r="X56" s="336">
        <f t="shared" si="14"/>
        <v>0</v>
      </c>
    </row>
    <row r="57" spans="1:24" s="41" customFormat="1" ht="15" x14ac:dyDescent="0.25">
      <c r="A57" s="1">
        <v>41</v>
      </c>
      <c r="B57" s="1">
        <f t="shared" si="4"/>
        <v>2057</v>
      </c>
      <c r="C57" s="216"/>
      <c r="D57" s="217">
        <f t="shared" ref="D57:F76" si="15">(IF((AND($A57&gt;=$B$5,$A57&lt;=$C$5)),D$105,0)+IF((AND($A57&gt;=$B$6,$A57&lt;=$C$6)),D$106,0)+IF((AND($A57&gt;=$B$7,$A57&lt;=$C$7)),D$107,0)+IF((AND($A57&gt;=$B$8,$A57&lt;=$C$8)),D$108,0)+IF((AND($A57&gt;=$B$9,$A57&lt;=$C$9)),D$109,0)+IF((AND($A57&gt;=$B$10,$A57&lt;=$C$10)),D$110,0))</f>
        <v>0</v>
      </c>
      <c r="E57" s="217">
        <f t="shared" si="15"/>
        <v>0</v>
      </c>
      <c r="F57" s="217">
        <f t="shared" si="15"/>
        <v>0</v>
      </c>
      <c r="G57" s="1">
        <v>41</v>
      </c>
      <c r="H57" s="1">
        <f t="shared" si="5"/>
        <v>2057</v>
      </c>
      <c r="I57" s="1"/>
      <c r="J57" s="217">
        <f t="shared" si="12"/>
        <v>0</v>
      </c>
      <c r="K57" s="217">
        <f t="shared" si="12"/>
        <v>0</v>
      </c>
      <c r="L57" s="217">
        <f t="shared" si="12"/>
        <v>0</v>
      </c>
      <c r="M57" s="1">
        <v>41</v>
      </c>
      <c r="N57" s="1">
        <f t="shared" si="7"/>
        <v>2057</v>
      </c>
      <c r="O57" s="1"/>
      <c r="P57" s="217">
        <f t="shared" si="13"/>
        <v>0</v>
      </c>
      <c r="Q57" s="217">
        <f t="shared" si="13"/>
        <v>0</v>
      </c>
      <c r="R57" s="217">
        <f t="shared" si="13"/>
        <v>0</v>
      </c>
      <c r="S57" s="1">
        <v>41</v>
      </c>
      <c r="T57" s="1">
        <f t="shared" si="9"/>
        <v>2057</v>
      </c>
      <c r="U57" s="1"/>
      <c r="V57" s="336">
        <f t="shared" si="14"/>
        <v>0</v>
      </c>
      <c r="W57" s="336">
        <f t="shared" si="14"/>
        <v>0</v>
      </c>
      <c r="X57" s="336">
        <f t="shared" si="14"/>
        <v>0</v>
      </c>
    </row>
    <row r="58" spans="1:24" s="41" customFormat="1" ht="15" x14ac:dyDescent="0.25">
      <c r="A58" s="1">
        <v>42</v>
      </c>
      <c r="B58" s="1">
        <f t="shared" si="4"/>
        <v>2058</v>
      </c>
      <c r="C58" s="216"/>
      <c r="D58" s="217">
        <f t="shared" si="15"/>
        <v>0</v>
      </c>
      <c r="E58" s="217">
        <f t="shared" si="15"/>
        <v>0</v>
      </c>
      <c r="F58" s="217">
        <f t="shared" si="15"/>
        <v>0</v>
      </c>
      <c r="G58" s="1">
        <v>42</v>
      </c>
      <c r="H58" s="1">
        <f t="shared" si="5"/>
        <v>2058</v>
      </c>
      <c r="I58" s="1"/>
      <c r="J58" s="217">
        <f t="shared" si="12"/>
        <v>0</v>
      </c>
      <c r="K58" s="217">
        <f t="shared" si="12"/>
        <v>0</v>
      </c>
      <c r="L58" s="217">
        <f t="shared" si="12"/>
        <v>0</v>
      </c>
      <c r="M58" s="1">
        <v>42</v>
      </c>
      <c r="N58" s="1">
        <f t="shared" si="7"/>
        <v>2058</v>
      </c>
      <c r="O58" s="1"/>
      <c r="P58" s="217">
        <f t="shared" si="13"/>
        <v>0</v>
      </c>
      <c r="Q58" s="217">
        <f t="shared" si="13"/>
        <v>0</v>
      </c>
      <c r="R58" s="217">
        <f t="shared" si="13"/>
        <v>0</v>
      </c>
      <c r="S58" s="1">
        <v>42</v>
      </c>
      <c r="T58" s="1">
        <f t="shared" si="9"/>
        <v>2058</v>
      </c>
      <c r="U58" s="1"/>
      <c r="V58" s="336">
        <f t="shared" si="14"/>
        <v>0</v>
      </c>
      <c r="W58" s="336">
        <f t="shared" si="14"/>
        <v>0</v>
      </c>
      <c r="X58" s="336">
        <f t="shared" si="14"/>
        <v>0</v>
      </c>
    </row>
    <row r="59" spans="1:24" s="41" customFormat="1" ht="15" x14ac:dyDescent="0.25">
      <c r="A59" s="1">
        <v>43</v>
      </c>
      <c r="B59" s="1">
        <f t="shared" si="4"/>
        <v>2059</v>
      </c>
      <c r="C59" s="216"/>
      <c r="D59" s="217">
        <f t="shared" si="15"/>
        <v>0</v>
      </c>
      <c r="E59" s="217">
        <f t="shared" si="15"/>
        <v>0</v>
      </c>
      <c r="F59" s="217">
        <f t="shared" si="15"/>
        <v>0</v>
      </c>
      <c r="G59" s="1">
        <v>43</v>
      </c>
      <c r="H59" s="1">
        <f t="shared" si="5"/>
        <v>2059</v>
      </c>
      <c r="I59" s="1"/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1">
        <v>43</v>
      </c>
      <c r="N59" s="1">
        <f t="shared" si="7"/>
        <v>2059</v>
      </c>
      <c r="O59" s="1"/>
      <c r="P59" s="217">
        <f t="shared" si="13"/>
        <v>0</v>
      </c>
      <c r="Q59" s="217">
        <f t="shared" si="13"/>
        <v>0</v>
      </c>
      <c r="R59" s="217">
        <f t="shared" si="13"/>
        <v>0</v>
      </c>
      <c r="S59" s="1">
        <v>43</v>
      </c>
      <c r="T59" s="1">
        <f t="shared" si="9"/>
        <v>2059</v>
      </c>
      <c r="U59" s="1"/>
      <c r="V59" s="336">
        <f t="shared" si="14"/>
        <v>0</v>
      </c>
      <c r="W59" s="336">
        <f t="shared" si="14"/>
        <v>0</v>
      </c>
      <c r="X59" s="336">
        <f t="shared" si="14"/>
        <v>0</v>
      </c>
    </row>
    <row r="60" spans="1:24" s="41" customFormat="1" ht="15" x14ac:dyDescent="0.25">
      <c r="A60" s="1">
        <v>44</v>
      </c>
      <c r="B60" s="1">
        <f t="shared" si="4"/>
        <v>2060</v>
      </c>
      <c r="C60" s="216"/>
      <c r="D60" s="217">
        <f t="shared" si="15"/>
        <v>0</v>
      </c>
      <c r="E60" s="217">
        <f t="shared" si="15"/>
        <v>0</v>
      </c>
      <c r="F60" s="217">
        <f t="shared" si="15"/>
        <v>0</v>
      </c>
      <c r="G60" s="1">
        <v>44</v>
      </c>
      <c r="H60" s="1">
        <f t="shared" si="5"/>
        <v>2060</v>
      </c>
      <c r="I60" s="1"/>
      <c r="J60" s="217">
        <f t="shared" si="12"/>
        <v>0</v>
      </c>
      <c r="K60" s="217">
        <f t="shared" si="12"/>
        <v>0</v>
      </c>
      <c r="L60" s="217">
        <f t="shared" si="12"/>
        <v>0</v>
      </c>
      <c r="M60" s="1">
        <v>44</v>
      </c>
      <c r="N60" s="1">
        <f t="shared" si="7"/>
        <v>2060</v>
      </c>
      <c r="O60" s="1"/>
      <c r="P60" s="217">
        <f t="shared" si="13"/>
        <v>0</v>
      </c>
      <c r="Q60" s="217">
        <f t="shared" si="13"/>
        <v>0</v>
      </c>
      <c r="R60" s="217">
        <f t="shared" si="13"/>
        <v>0</v>
      </c>
      <c r="S60" s="1">
        <v>44</v>
      </c>
      <c r="T60" s="1">
        <f t="shared" si="9"/>
        <v>2060</v>
      </c>
      <c r="U60" s="1"/>
      <c r="V60" s="336">
        <f t="shared" si="14"/>
        <v>0</v>
      </c>
      <c r="W60" s="336">
        <f t="shared" si="14"/>
        <v>0</v>
      </c>
      <c r="X60" s="336">
        <f t="shared" si="14"/>
        <v>0</v>
      </c>
    </row>
    <row r="61" spans="1:24" s="41" customFormat="1" ht="15" x14ac:dyDescent="0.25">
      <c r="A61" s="1">
        <v>45</v>
      </c>
      <c r="B61" s="1">
        <f t="shared" si="4"/>
        <v>2061</v>
      </c>
      <c r="C61" s="216"/>
      <c r="D61" s="217">
        <f t="shared" si="15"/>
        <v>0</v>
      </c>
      <c r="E61" s="217">
        <f t="shared" si="15"/>
        <v>0</v>
      </c>
      <c r="F61" s="217">
        <f t="shared" si="15"/>
        <v>0</v>
      </c>
      <c r="G61" s="1">
        <v>45</v>
      </c>
      <c r="H61" s="1">
        <f t="shared" si="5"/>
        <v>2061</v>
      </c>
      <c r="I61" s="1"/>
      <c r="J61" s="217">
        <f t="shared" si="12"/>
        <v>0</v>
      </c>
      <c r="K61" s="217">
        <f t="shared" si="12"/>
        <v>0</v>
      </c>
      <c r="L61" s="217">
        <f t="shared" si="12"/>
        <v>0</v>
      </c>
      <c r="M61" s="1">
        <v>45</v>
      </c>
      <c r="N61" s="1">
        <f t="shared" si="7"/>
        <v>2061</v>
      </c>
      <c r="O61" s="1"/>
      <c r="P61" s="217">
        <f t="shared" si="13"/>
        <v>0</v>
      </c>
      <c r="Q61" s="217">
        <f t="shared" si="13"/>
        <v>0</v>
      </c>
      <c r="R61" s="217">
        <f t="shared" si="13"/>
        <v>0</v>
      </c>
      <c r="S61" s="1">
        <v>45</v>
      </c>
      <c r="T61" s="1">
        <f t="shared" si="9"/>
        <v>2061</v>
      </c>
      <c r="U61" s="1"/>
      <c r="V61" s="336">
        <f t="shared" si="14"/>
        <v>0</v>
      </c>
      <c r="W61" s="336">
        <f t="shared" si="14"/>
        <v>0</v>
      </c>
      <c r="X61" s="336">
        <f t="shared" si="14"/>
        <v>0</v>
      </c>
    </row>
    <row r="62" spans="1:24" s="41" customFormat="1" ht="15" x14ac:dyDescent="0.25">
      <c r="A62" s="1">
        <v>46</v>
      </c>
      <c r="B62" s="1">
        <f t="shared" si="4"/>
        <v>2062</v>
      </c>
      <c r="C62" s="216"/>
      <c r="D62" s="217">
        <f t="shared" si="15"/>
        <v>0</v>
      </c>
      <c r="E62" s="217">
        <f t="shared" si="15"/>
        <v>0</v>
      </c>
      <c r="F62" s="217">
        <f t="shared" si="15"/>
        <v>0</v>
      </c>
      <c r="G62" s="1">
        <v>46</v>
      </c>
      <c r="H62" s="1">
        <f t="shared" si="5"/>
        <v>2062</v>
      </c>
      <c r="I62" s="1"/>
      <c r="J62" s="217">
        <f t="shared" si="12"/>
        <v>0</v>
      </c>
      <c r="K62" s="217">
        <f t="shared" si="12"/>
        <v>0</v>
      </c>
      <c r="L62" s="217">
        <f t="shared" si="12"/>
        <v>0</v>
      </c>
      <c r="M62" s="1">
        <v>46</v>
      </c>
      <c r="N62" s="1">
        <f t="shared" si="7"/>
        <v>2062</v>
      </c>
      <c r="O62" s="1"/>
      <c r="P62" s="217">
        <f t="shared" si="13"/>
        <v>0</v>
      </c>
      <c r="Q62" s="217">
        <f t="shared" si="13"/>
        <v>0</v>
      </c>
      <c r="R62" s="217">
        <f t="shared" si="13"/>
        <v>0</v>
      </c>
      <c r="S62" s="1">
        <v>46</v>
      </c>
      <c r="T62" s="1">
        <f t="shared" si="9"/>
        <v>2062</v>
      </c>
      <c r="U62" s="1"/>
      <c r="V62" s="336">
        <f t="shared" si="14"/>
        <v>0</v>
      </c>
      <c r="W62" s="336">
        <f t="shared" si="14"/>
        <v>0</v>
      </c>
      <c r="X62" s="336">
        <f t="shared" si="14"/>
        <v>0</v>
      </c>
    </row>
    <row r="63" spans="1:24" s="41" customFormat="1" ht="15" x14ac:dyDescent="0.25">
      <c r="A63" s="1">
        <v>47</v>
      </c>
      <c r="B63" s="1">
        <f t="shared" si="4"/>
        <v>2063</v>
      </c>
      <c r="C63" s="216"/>
      <c r="D63" s="217">
        <f t="shared" si="15"/>
        <v>0</v>
      </c>
      <c r="E63" s="217">
        <f t="shared" si="15"/>
        <v>0</v>
      </c>
      <c r="F63" s="217">
        <f t="shared" si="15"/>
        <v>0</v>
      </c>
      <c r="G63" s="1">
        <v>47</v>
      </c>
      <c r="H63" s="1">
        <f t="shared" si="5"/>
        <v>2063</v>
      </c>
      <c r="I63" s="1"/>
      <c r="J63" s="217">
        <f t="shared" si="12"/>
        <v>0</v>
      </c>
      <c r="K63" s="217">
        <f t="shared" si="12"/>
        <v>0</v>
      </c>
      <c r="L63" s="217">
        <f t="shared" si="12"/>
        <v>0</v>
      </c>
      <c r="M63" s="1">
        <v>47</v>
      </c>
      <c r="N63" s="1">
        <f t="shared" si="7"/>
        <v>2063</v>
      </c>
      <c r="O63" s="1"/>
      <c r="P63" s="217">
        <f t="shared" si="13"/>
        <v>0</v>
      </c>
      <c r="Q63" s="217">
        <f t="shared" si="13"/>
        <v>0</v>
      </c>
      <c r="R63" s="217">
        <f t="shared" si="13"/>
        <v>0</v>
      </c>
      <c r="S63" s="1">
        <v>47</v>
      </c>
      <c r="T63" s="1">
        <f t="shared" si="9"/>
        <v>2063</v>
      </c>
      <c r="U63" s="1"/>
      <c r="V63" s="336">
        <f t="shared" si="14"/>
        <v>0</v>
      </c>
      <c r="W63" s="336">
        <f t="shared" si="14"/>
        <v>0</v>
      </c>
      <c r="X63" s="336">
        <f t="shared" si="14"/>
        <v>0</v>
      </c>
    </row>
    <row r="64" spans="1:24" s="41" customFormat="1" ht="15" x14ac:dyDescent="0.25">
      <c r="A64" s="1">
        <v>48</v>
      </c>
      <c r="B64" s="1">
        <f t="shared" si="4"/>
        <v>2064</v>
      </c>
      <c r="C64" s="216"/>
      <c r="D64" s="217">
        <f t="shared" si="15"/>
        <v>0</v>
      </c>
      <c r="E64" s="217">
        <f t="shared" si="15"/>
        <v>0</v>
      </c>
      <c r="F64" s="217">
        <f t="shared" si="15"/>
        <v>0</v>
      </c>
      <c r="G64" s="1">
        <v>48</v>
      </c>
      <c r="H64" s="1">
        <f t="shared" si="5"/>
        <v>2064</v>
      </c>
      <c r="I64" s="1"/>
      <c r="J64" s="217">
        <f t="shared" si="12"/>
        <v>0</v>
      </c>
      <c r="K64" s="217">
        <f t="shared" si="12"/>
        <v>0</v>
      </c>
      <c r="L64" s="217">
        <f t="shared" si="12"/>
        <v>0</v>
      </c>
      <c r="M64" s="1">
        <v>48</v>
      </c>
      <c r="N64" s="1">
        <f t="shared" si="7"/>
        <v>2064</v>
      </c>
      <c r="O64" s="1"/>
      <c r="P64" s="217">
        <f t="shared" si="13"/>
        <v>0</v>
      </c>
      <c r="Q64" s="217">
        <f t="shared" si="13"/>
        <v>0</v>
      </c>
      <c r="R64" s="217">
        <f t="shared" si="13"/>
        <v>0</v>
      </c>
      <c r="S64" s="1">
        <v>48</v>
      </c>
      <c r="T64" s="1">
        <f t="shared" si="9"/>
        <v>2064</v>
      </c>
      <c r="U64" s="1"/>
      <c r="V64" s="336">
        <f t="shared" si="14"/>
        <v>0</v>
      </c>
      <c r="W64" s="336">
        <f t="shared" si="14"/>
        <v>0</v>
      </c>
      <c r="X64" s="336">
        <f t="shared" si="14"/>
        <v>0</v>
      </c>
    </row>
    <row r="65" spans="1:24" s="39" customFormat="1" ht="15" x14ac:dyDescent="0.25">
      <c r="A65" s="1">
        <v>49</v>
      </c>
      <c r="B65" s="1">
        <f t="shared" si="4"/>
        <v>2065</v>
      </c>
      <c r="C65" s="216"/>
      <c r="D65" s="217">
        <f t="shared" si="15"/>
        <v>0</v>
      </c>
      <c r="E65" s="217">
        <f t="shared" si="15"/>
        <v>0</v>
      </c>
      <c r="F65" s="217">
        <f t="shared" si="15"/>
        <v>0</v>
      </c>
      <c r="G65" s="1">
        <v>49</v>
      </c>
      <c r="H65" s="1">
        <f t="shared" si="5"/>
        <v>2065</v>
      </c>
      <c r="I65" s="2"/>
      <c r="J65" s="217">
        <f t="shared" si="12"/>
        <v>0</v>
      </c>
      <c r="K65" s="217">
        <f t="shared" si="12"/>
        <v>0</v>
      </c>
      <c r="L65" s="217">
        <f t="shared" si="12"/>
        <v>0</v>
      </c>
      <c r="M65" s="1">
        <v>49</v>
      </c>
      <c r="N65" s="1">
        <f t="shared" si="7"/>
        <v>2065</v>
      </c>
      <c r="O65" s="2"/>
      <c r="P65" s="217">
        <f t="shared" si="13"/>
        <v>0</v>
      </c>
      <c r="Q65" s="217">
        <f t="shared" si="13"/>
        <v>0</v>
      </c>
      <c r="R65" s="217">
        <f t="shared" si="13"/>
        <v>0</v>
      </c>
      <c r="S65" s="1">
        <v>49</v>
      </c>
      <c r="T65" s="1">
        <f t="shared" si="9"/>
        <v>2065</v>
      </c>
      <c r="U65" s="2"/>
      <c r="V65" s="336">
        <f t="shared" si="14"/>
        <v>0</v>
      </c>
      <c r="W65" s="336">
        <f t="shared" si="14"/>
        <v>0</v>
      </c>
      <c r="X65" s="336">
        <f t="shared" si="14"/>
        <v>0</v>
      </c>
    </row>
    <row r="66" spans="1:24" s="41" customFormat="1" ht="15" x14ac:dyDescent="0.25">
      <c r="A66" s="1">
        <v>50</v>
      </c>
      <c r="B66" s="1">
        <f t="shared" si="4"/>
        <v>2066</v>
      </c>
      <c r="C66" s="216"/>
      <c r="D66" s="217">
        <f t="shared" si="15"/>
        <v>0</v>
      </c>
      <c r="E66" s="217">
        <f t="shared" si="15"/>
        <v>0</v>
      </c>
      <c r="F66" s="217">
        <f t="shared" si="15"/>
        <v>0</v>
      </c>
      <c r="G66" s="1">
        <v>50</v>
      </c>
      <c r="H66" s="1">
        <f t="shared" si="5"/>
        <v>2066</v>
      </c>
      <c r="I66" s="1"/>
      <c r="J66" s="217">
        <f t="shared" si="12"/>
        <v>0</v>
      </c>
      <c r="K66" s="217">
        <f t="shared" si="12"/>
        <v>0</v>
      </c>
      <c r="L66" s="217">
        <f t="shared" si="12"/>
        <v>0</v>
      </c>
      <c r="M66" s="1">
        <v>50</v>
      </c>
      <c r="N66" s="1">
        <f t="shared" si="7"/>
        <v>2066</v>
      </c>
      <c r="O66" s="1"/>
      <c r="P66" s="217">
        <f t="shared" si="13"/>
        <v>0</v>
      </c>
      <c r="Q66" s="217">
        <f t="shared" si="13"/>
        <v>0</v>
      </c>
      <c r="R66" s="217">
        <f t="shared" si="13"/>
        <v>0</v>
      </c>
      <c r="S66" s="1">
        <v>50</v>
      </c>
      <c r="T66" s="1">
        <f t="shared" si="9"/>
        <v>2066</v>
      </c>
      <c r="U66" s="1"/>
      <c r="V66" s="336">
        <f t="shared" si="14"/>
        <v>0</v>
      </c>
      <c r="W66" s="336">
        <f t="shared" si="14"/>
        <v>0</v>
      </c>
      <c r="X66" s="336">
        <f t="shared" si="14"/>
        <v>0</v>
      </c>
    </row>
    <row r="67" spans="1:24" s="41" customFormat="1" ht="15" x14ac:dyDescent="0.25">
      <c r="A67" s="1">
        <v>51</v>
      </c>
      <c r="B67" s="1">
        <f t="shared" si="4"/>
        <v>2067</v>
      </c>
      <c r="C67" s="216"/>
      <c r="D67" s="217">
        <f t="shared" si="15"/>
        <v>0</v>
      </c>
      <c r="E67" s="217">
        <f t="shared" si="15"/>
        <v>0</v>
      </c>
      <c r="F67" s="217">
        <f t="shared" si="15"/>
        <v>0</v>
      </c>
      <c r="G67" s="1">
        <v>51</v>
      </c>
      <c r="H67" s="1">
        <f t="shared" si="5"/>
        <v>2067</v>
      </c>
      <c r="I67" s="1"/>
      <c r="J67" s="217">
        <f t="shared" si="12"/>
        <v>0</v>
      </c>
      <c r="K67" s="217">
        <f t="shared" si="12"/>
        <v>0</v>
      </c>
      <c r="L67" s="217">
        <f t="shared" si="12"/>
        <v>0</v>
      </c>
      <c r="M67" s="1">
        <v>51</v>
      </c>
      <c r="N67" s="1">
        <f t="shared" si="7"/>
        <v>2067</v>
      </c>
      <c r="O67" s="1"/>
      <c r="P67" s="217">
        <f t="shared" si="13"/>
        <v>0</v>
      </c>
      <c r="Q67" s="217">
        <f t="shared" si="13"/>
        <v>0</v>
      </c>
      <c r="R67" s="217">
        <f t="shared" si="13"/>
        <v>0</v>
      </c>
      <c r="S67" s="1">
        <v>51</v>
      </c>
      <c r="T67" s="1">
        <f t="shared" si="9"/>
        <v>2067</v>
      </c>
      <c r="U67" s="1"/>
      <c r="V67" s="336">
        <f t="shared" si="14"/>
        <v>0</v>
      </c>
      <c r="W67" s="336">
        <f t="shared" si="14"/>
        <v>0</v>
      </c>
      <c r="X67" s="336">
        <f t="shared" si="14"/>
        <v>0</v>
      </c>
    </row>
    <row r="68" spans="1:24" s="41" customFormat="1" ht="15" x14ac:dyDescent="0.25">
      <c r="A68" s="1">
        <v>52</v>
      </c>
      <c r="B68" s="1">
        <f t="shared" si="4"/>
        <v>2068</v>
      </c>
      <c r="C68" s="216"/>
      <c r="D68" s="217">
        <f t="shared" si="15"/>
        <v>0</v>
      </c>
      <c r="E68" s="217">
        <f t="shared" si="15"/>
        <v>0</v>
      </c>
      <c r="F68" s="217">
        <f t="shared" si="15"/>
        <v>0</v>
      </c>
      <c r="G68" s="1">
        <v>52</v>
      </c>
      <c r="H68" s="1">
        <f t="shared" si="5"/>
        <v>2068</v>
      </c>
      <c r="I68" s="1"/>
      <c r="J68" s="217">
        <f t="shared" si="12"/>
        <v>0</v>
      </c>
      <c r="K68" s="217">
        <f t="shared" si="12"/>
        <v>0</v>
      </c>
      <c r="L68" s="217">
        <f t="shared" si="12"/>
        <v>0</v>
      </c>
      <c r="M68" s="1">
        <v>52</v>
      </c>
      <c r="N68" s="1">
        <f t="shared" si="7"/>
        <v>2068</v>
      </c>
      <c r="O68" s="1"/>
      <c r="P68" s="217">
        <f t="shared" si="13"/>
        <v>0</v>
      </c>
      <c r="Q68" s="217">
        <f t="shared" si="13"/>
        <v>0</v>
      </c>
      <c r="R68" s="217">
        <f t="shared" si="13"/>
        <v>0</v>
      </c>
      <c r="S68" s="1">
        <v>52</v>
      </c>
      <c r="T68" s="1">
        <f t="shared" si="9"/>
        <v>2068</v>
      </c>
      <c r="U68" s="1"/>
      <c r="V68" s="336">
        <f t="shared" si="14"/>
        <v>0</v>
      </c>
      <c r="W68" s="336">
        <f t="shared" si="14"/>
        <v>0</v>
      </c>
      <c r="X68" s="336">
        <f t="shared" si="14"/>
        <v>0</v>
      </c>
    </row>
    <row r="69" spans="1:24" s="41" customFormat="1" ht="15" x14ac:dyDescent="0.25">
      <c r="A69" s="1">
        <v>53</v>
      </c>
      <c r="B69" s="1">
        <f t="shared" si="4"/>
        <v>2069</v>
      </c>
      <c r="C69" s="216"/>
      <c r="D69" s="217">
        <f t="shared" si="15"/>
        <v>0</v>
      </c>
      <c r="E69" s="217">
        <f t="shared" si="15"/>
        <v>0</v>
      </c>
      <c r="F69" s="217">
        <f t="shared" si="15"/>
        <v>0</v>
      </c>
      <c r="G69" s="1">
        <v>53</v>
      </c>
      <c r="H69" s="1">
        <f t="shared" si="5"/>
        <v>2069</v>
      </c>
      <c r="I69" s="1"/>
      <c r="J69" s="217">
        <f t="shared" si="12"/>
        <v>0</v>
      </c>
      <c r="K69" s="217">
        <f t="shared" si="12"/>
        <v>0</v>
      </c>
      <c r="L69" s="217">
        <f t="shared" si="12"/>
        <v>0</v>
      </c>
      <c r="M69" s="1">
        <v>53</v>
      </c>
      <c r="N69" s="1">
        <f t="shared" si="7"/>
        <v>2069</v>
      </c>
      <c r="O69" s="1"/>
      <c r="P69" s="217">
        <f t="shared" si="13"/>
        <v>0</v>
      </c>
      <c r="Q69" s="217">
        <f t="shared" si="13"/>
        <v>0</v>
      </c>
      <c r="R69" s="217">
        <f t="shared" si="13"/>
        <v>0</v>
      </c>
      <c r="S69" s="1">
        <v>53</v>
      </c>
      <c r="T69" s="1">
        <f t="shared" si="9"/>
        <v>2069</v>
      </c>
      <c r="U69" s="1"/>
      <c r="V69" s="336">
        <f t="shared" si="14"/>
        <v>0</v>
      </c>
      <c r="W69" s="336">
        <f t="shared" si="14"/>
        <v>0</v>
      </c>
      <c r="X69" s="336">
        <f t="shared" si="14"/>
        <v>0</v>
      </c>
    </row>
    <row r="70" spans="1:24" s="41" customFormat="1" ht="15" x14ac:dyDescent="0.25">
      <c r="A70" s="1">
        <v>54</v>
      </c>
      <c r="B70" s="1">
        <f t="shared" si="4"/>
        <v>2070</v>
      </c>
      <c r="C70" s="216"/>
      <c r="D70" s="217">
        <f t="shared" si="15"/>
        <v>0</v>
      </c>
      <c r="E70" s="217">
        <f t="shared" si="15"/>
        <v>0</v>
      </c>
      <c r="F70" s="217">
        <f t="shared" si="15"/>
        <v>0</v>
      </c>
      <c r="G70" s="1">
        <v>54</v>
      </c>
      <c r="H70" s="1">
        <f t="shared" si="5"/>
        <v>2070</v>
      </c>
      <c r="I70" s="1"/>
      <c r="J70" s="217">
        <f t="shared" si="12"/>
        <v>0</v>
      </c>
      <c r="K70" s="217">
        <f t="shared" si="12"/>
        <v>0</v>
      </c>
      <c r="L70" s="217">
        <f t="shared" si="12"/>
        <v>0</v>
      </c>
      <c r="M70" s="1">
        <v>54</v>
      </c>
      <c r="N70" s="1">
        <f t="shared" si="7"/>
        <v>2070</v>
      </c>
      <c r="O70" s="1"/>
      <c r="P70" s="217">
        <f t="shared" si="13"/>
        <v>0</v>
      </c>
      <c r="Q70" s="217">
        <f t="shared" si="13"/>
        <v>0</v>
      </c>
      <c r="R70" s="217">
        <f t="shared" si="13"/>
        <v>0</v>
      </c>
      <c r="S70" s="1">
        <v>54</v>
      </c>
      <c r="T70" s="1">
        <f t="shared" si="9"/>
        <v>2070</v>
      </c>
      <c r="U70" s="1"/>
      <c r="V70" s="336">
        <f t="shared" si="14"/>
        <v>0</v>
      </c>
      <c r="W70" s="336">
        <f t="shared" si="14"/>
        <v>0</v>
      </c>
      <c r="X70" s="336">
        <f t="shared" si="14"/>
        <v>0</v>
      </c>
    </row>
    <row r="71" spans="1:24" s="41" customFormat="1" ht="15" x14ac:dyDescent="0.25">
      <c r="A71" s="1">
        <v>55</v>
      </c>
      <c r="B71" s="1">
        <f t="shared" si="4"/>
        <v>2071</v>
      </c>
      <c r="C71" s="216"/>
      <c r="D71" s="217">
        <f t="shared" si="15"/>
        <v>0</v>
      </c>
      <c r="E71" s="217">
        <f t="shared" si="15"/>
        <v>0</v>
      </c>
      <c r="F71" s="217">
        <f t="shared" si="15"/>
        <v>0</v>
      </c>
      <c r="G71" s="1">
        <v>55</v>
      </c>
      <c r="H71" s="1">
        <f t="shared" si="5"/>
        <v>2071</v>
      </c>
      <c r="I71" s="1"/>
      <c r="J71" s="217">
        <f t="shared" si="12"/>
        <v>0</v>
      </c>
      <c r="K71" s="217">
        <f t="shared" si="12"/>
        <v>0</v>
      </c>
      <c r="L71" s="217">
        <f t="shared" si="12"/>
        <v>0</v>
      </c>
      <c r="M71" s="1">
        <v>55</v>
      </c>
      <c r="N71" s="1">
        <f t="shared" si="7"/>
        <v>2071</v>
      </c>
      <c r="O71" s="1"/>
      <c r="P71" s="217">
        <f t="shared" si="13"/>
        <v>0</v>
      </c>
      <c r="Q71" s="217">
        <f t="shared" si="13"/>
        <v>0</v>
      </c>
      <c r="R71" s="217">
        <f t="shared" si="13"/>
        <v>0</v>
      </c>
      <c r="S71" s="1">
        <v>55</v>
      </c>
      <c r="T71" s="1">
        <f t="shared" si="9"/>
        <v>2071</v>
      </c>
      <c r="U71" s="1"/>
      <c r="V71" s="336">
        <f t="shared" si="14"/>
        <v>0</v>
      </c>
      <c r="W71" s="336">
        <f t="shared" si="14"/>
        <v>0</v>
      </c>
      <c r="X71" s="336">
        <f t="shared" si="14"/>
        <v>0</v>
      </c>
    </row>
    <row r="72" spans="1:24" s="41" customFormat="1" ht="15" x14ac:dyDescent="0.25">
      <c r="A72" s="1">
        <v>56</v>
      </c>
      <c r="B72" s="1">
        <f t="shared" si="4"/>
        <v>2072</v>
      </c>
      <c r="C72" s="216"/>
      <c r="D72" s="217">
        <f t="shared" si="15"/>
        <v>0</v>
      </c>
      <c r="E72" s="217">
        <f t="shared" si="15"/>
        <v>0</v>
      </c>
      <c r="F72" s="217">
        <f t="shared" si="15"/>
        <v>0</v>
      </c>
      <c r="G72" s="1">
        <v>56</v>
      </c>
      <c r="H72" s="1">
        <f t="shared" si="5"/>
        <v>2072</v>
      </c>
      <c r="I72" s="1"/>
      <c r="J72" s="217">
        <f t="shared" si="12"/>
        <v>0</v>
      </c>
      <c r="K72" s="217">
        <f t="shared" si="12"/>
        <v>0</v>
      </c>
      <c r="L72" s="217">
        <f t="shared" si="12"/>
        <v>0</v>
      </c>
      <c r="M72" s="1">
        <v>56</v>
      </c>
      <c r="N72" s="1">
        <f t="shared" si="7"/>
        <v>2072</v>
      </c>
      <c r="O72" s="1"/>
      <c r="P72" s="217">
        <f t="shared" si="13"/>
        <v>0</v>
      </c>
      <c r="Q72" s="217">
        <f t="shared" si="13"/>
        <v>0</v>
      </c>
      <c r="R72" s="217">
        <f t="shared" si="13"/>
        <v>0</v>
      </c>
      <c r="S72" s="1">
        <v>56</v>
      </c>
      <c r="T72" s="1">
        <f t="shared" si="9"/>
        <v>2072</v>
      </c>
      <c r="U72" s="1"/>
      <c r="V72" s="336">
        <f t="shared" si="14"/>
        <v>0</v>
      </c>
      <c r="W72" s="336">
        <f t="shared" si="14"/>
        <v>0</v>
      </c>
      <c r="X72" s="336">
        <f t="shared" si="14"/>
        <v>0</v>
      </c>
    </row>
    <row r="73" spans="1:24" s="41" customFormat="1" ht="15" x14ac:dyDescent="0.25">
      <c r="A73" s="1">
        <v>57</v>
      </c>
      <c r="B73" s="1">
        <f t="shared" si="4"/>
        <v>2073</v>
      </c>
      <c r="C73" s="216"/>
      <c r="D73" s="217">
        <f t="shared" si="15"/>
        <v>0</v>
      </c>
      <c r="E73" s="217">
        <f t="shared" si="15"/>
        <v>0</v>
      </c>
      <c r="F73" s="217">
        <f t="shared" si="15"/>
        <v>0</v>
      </c>
      <c r="G73" s="1">
        <v>57</v>
      </c>
      <c r="H73" s="1">
        <f t="shared" si="5"/>
        <v>2073</v>
      </c>
      <c r="I73" s="1"/>
      <c r="J73" s="217">
        <f t="shared" si="12"/>
        <v>0</v>
      </c>
      <c r="K73" s="217">
        <f t="shared" si="12"/>
        <v>0</v>
      </c>
      <c r="L73" s="217">
        <f t="shared" si="12"/>
        <v>0</v>
      </c>
      <c r="M73" s="1">
        <v>57</v>
      </c>
      <c r="N73" s="1">
        <f t="shared" si="7"/>
        <v>2073</v>
      </c>
      <c r="O73" s="1"/>
      <c r="P73" s="217">
        <f t="shared" si="13"/>
        <v>0</v>
      </c>
      <c r="Q73" s="217">
        <f t="shared" si="13"/>
        <v>0</v>
      </c>
      <c r="R73" s="217">
        <f t="shared" si="13"/>
        <v>0</v>
      </c>
      <c r="S73" s="1">
        <v>57</v>
      </c>
      <c r="T73" s="1">
        <f t="shared" si="9"/>
        <v>2073</v>
      </c>
      <c r="U73" s="1"/>
      <c r="V73" s="336">
        <f t="shared" si="14"/>
        <v>0</v>
      </c>
      <c r="W73" s="336">
        <f t="shared" si="14"/>
        <v>0</v>
      </c>
      <c r="X73" s="336">
        <f t="shared" si="14"/>
        <v>0</v>
      </c>
    </row>
    <row r="74" spans="1:24" s="41" customFormat="1" ht="15" x14ac:dyDescent="0.25">
      <c r="A74" s="1">
        <v>58</v>
      </c>
      <c r="B74" s="1">
        <f t="shared" si="4"/>
        <v>2074</v>
      </c>
      <c r="C74" s="216"/>
      <c r="D74" s="217">
        <f t="shared" si="15"/>
        <v>0</v>
      </c>
      <c r="E74" s="217">
        <f t="shared" si="15"/>
        <v>0</v>
      </c>
      <c r="F74" s="217">
        <f t="shared" si="15"/>
        <v>0</v>
      </c>
      <c r="G74" s="1">
        <v>58</v>
      </c>
      <c r="H74" s="1">
        <f t="shared" si="5"/>
        <v>2074</v>
      </c>
      <c r="I74" s="1"/>
      <c r="J74" s="217">
        <f t="shared" si="12"/>
        <v>0</v>
      </c>
      <c r="K74" s="217">
        <f t="shared" si="12"/>
        <v>0</v>
      </c>
      <c r="L74" s="217">
        <f t="shared" si="12"/>
        <v>0</v>
      </c>
      <c r="M74" s="1">
        <v>58</v>
      </c>
      <c r="N74" s="1">
        <f t="shared" si="7"/>
        <v>2074</v>
      </c>
      <c r="O74" s="1"/>
      <c r="P74" s="217">
        <f t="shared" si="13"/>
        <v>0</v>
      </c>
      <c r="Q74" s="217">
        <f t="shared" si="13"/>
        <v>0</v>
      </c>
      <c r="R74" s="217">
        <f t="shared" si="13"/>
        <v>0</v>
      </c>
      <c r="S74" s="1">
        <v>58</v>
      </c>
      <c r="T74" s="1">
        <f t="shared" si="9"/>
        <v>2074</v>
      </c>
      <c r="U74" s="1"/>
      <c r="V74" s="336">
        <f t="shared" si="14"/>
        <v>0</v>
      </c>
      <c r="W74" s="336">
        <f t="shared" si="14"/>
        <v>0</v>
      </c>
      <c r="X74" s="336">
        <f t="shared" si="14"/>
        <v>0</v>
      </c>
    </row>
    <row r="75" spans="1:24" s="41" customFormat="1" ht="15" x14ac:dyDescent="0.25">
      <c r="A75" s="1">
        <v>59</v>
      </c>
      <c r="B75" s="1">
        <f t="shared" si="4"/>
        <v>2075</v>
      </c>
      <c r="C75" s="216"/>
      <c r="D75" s="217">
        <f t="shared" si="15"/>
        <v>0</v>
      </c>
      <c r="E75" s="217">
        <f t="shared" si="15"/>
        <v>0</v>
      </c>
      <c r="F75" s="217">
        <f t="shared" si="15"/>
        <v>0</v>
      </c>
      <c r="G75" s="1">
        <v>59</v>
      </c>
      <c r="H75" s="1">
        <f t="shared" si="5"/>
        <v>2075</v>
      </c>
      <c r="I75" s="1"/>
      <c r="J75" s="217">
        <f t="shared" si="12"/>
        <v>0</v>
      </c>
      <c r="K75" s="217">
        <f t="shared" si="12"/>
        <v>0</v>
      </c>
      <c r="L75" s="217">
        <f t="shared" si="12"/>
        <v>0</v>
      </c>
      <c r="M75" s="1">
        <v>59</v>
      </c>
      <c r="N75" s="1">
        <f t="shared" si="7"/>
        <v>2075</v>
      </c>
      <c r="O75" s="1"/>
      <c r="P75" s="217">
        <f t="shared" si="13"/>
        <v>0</v>
      </c>
      <c r="Q75" s="217">
        <f t="shared" si="13"/>
        <v>0</v>
      </c>
      <c r="R75" s="217">
        <f t="shared" si="13"/>
        <v>0</v>
      </c>
      <c r="S75" s="1">
        <v>59</v>
      </c>
      <c r="T75" s="1">
        <f t="shared" si="9"/>
        <v>2075</v>
      </c>
      <c r="U75" s="1"/>
      <c r="V75" s="336">
        <f t="shared" si="14"/>
        <v>0</v>
      </c>
      <c r="W75" s="336">
        <f t="shared" si="14"/>
        <v>0</v>
      </c>
      <c r="X75" s="336">
        <f t="shared" si="14"/>
        <v>0</v>
      </c>
    </row>
    <row r="76" spans="1:24" s="41" customFormat="1" ht="15" x14ac:dyDescent="0.25">
      <c r="A76" s="1">
        <v>60</v>
      </c>
      <c r="B76" s="1">
        <f t="shared" si="4"/>
        <v>2076</v>
      </c>
      <c r="C76" s="216"/>
      <c r="D76" s="217">
        <f t="shared" si="15"/>
        <v>0</v>
      </c>
      <c r="E76" s="217">
        <f t="shared" si="15"/>
        <v>0</v>
      </c>
      <c r="F76" s="217">
        <f t="shared" si="15"/>
        <v>0</v>
      </c>
      <c r="G76" s="1">
        <v>60</v>
      </c>
      <c r="H76" s="1">
        <f t="shared" si="5"/>
        <v>2076</v>
      </c>
      <c r="I76" s="1"/>
      <c r="J76" s="217">
        <f t="shared" si="12"/>
        <v>0</v>
      </c>
      <c r="K76" s="217">
        <f t="shared" si="12"/>
        <v>0</v>
      </c>
      <c r="L76" s="217">
        <f t="shared" si="12"/>
        <v>0</v>
      </c>
      <c r="M76" s="1">
        <v>60</v>
      </c>
      <c r="N76" s="1">
        <f t="shared" si="7"/>
        <v>2076</v>
      </c>
      <c r="O76" s="1"/>
      <c r="P76" s="217">
        <f t="shared" si="13"/>
        <v>0</v>
      </c>
      <c r="Q76" s="217">
        <f t="shared" si="13"/>
        <v>0</v>
      </c>
      <c r="R76" s="217">
        <f t="shared" si="13"/>
        <v>0</v>
      </c>
      <c r="S76" s="1">
        <v>60</v>
      </c>
      <c r="T76" s="1">
        <f t="shared" si="9"/>
        <v>2076</v>
      </c>
      <c r="U76" s="1"/>
      <c r="V76" s="336">
        <f t="shared" si="14"/>
        <v>0</v>
      </c>
      <c r="W76" s="336">
        <f t="shared" si="14"/>
        <v>0</v>
      </c>
      <c r="X76" s="336">
        <f t="shared" si="14"/>
        <v>0</v>
      </c>
    </row>
    <row r="77" spans="1:24" s="41" customFormat="1" ht="15" x14ac:dyDescent="0.25">
      <c r="A77" s="1">
        <v>61</v>
      </c>
      <c r="B77" s="1">
        <f t="shared" si="4"/>
        <v>2077</v>
      </c>
      <c r="C77" s="216"/>
      <c r="D77" s="217">
        <f t="shared" ref="D77:F101" si="16">(IF((AND($A77&gt;=$B$5,$A77&lt;=$C$5)),D$105,0)+IF((AND($A77&gt;=$B$6,$A77&lt;=$C$6)),D$106,0)+IF((AND($A77&gt;=$B$7,$A77&lt;=$C$7)),D$107,0)+IF((AND($A77&gt;=$B$8,$A77&lt;=$C$8)),D$108,0)+IF((AND($A77&gt;=$B$9,$A77&lt;=$C$9)),D$109,0)+IF((AND($A77&gt;=$B$10,$A77&lt;=$C$10)),D$110,0))</f>
        <v>0</v>
      </c>
      <c r="E77" s="217">
        <f t="shared" si="16"/>
        <v>0</v>
      </c>
      <c r="F77" s="217">
        <f t="shared" si="16"/>
        <v>0</v>
      </c>
      <c r="G77" s="1">
        <v>61</v>
      </c>
      <c r="H77" s="1">
        <f t="shared" si="5"/>
        <v>2077</v>
      </c>
      <c r="I77" s="1"/>
      <c r="J77" s="217">
        <f t="shared" si="12"/>
        <v>0</v>
      </c>
      <c r="K77" s="217">
        <f t="shared" si="12"/>
        <v>0</v>
      </c>
      <c r="L77" s="217">
        <f t="shared" si="12"/>
        <v>0</v>
      </c>
      <c r="M77" s="1">
        <v>61</v>
      </c>
      <c r="N77" s="1">
        <f t="shared" si="7"/>
        <v>2077</v>
      </c>
      <c r="O77" s="1"/>
      <c r="P77" s="217">
        <f t="shared" si="13"/>
        <v>0</v>
      </c>
      <c r="Q77" s="217">
        <f t="shared" si="13"/>
        <v>0</v>
      </c>
      <c r="R77" s="217">
        <f t="shared" si="13"/>
        <v>0</v>
      </c>
      <c r="S77" s="1">
        <v>61</v>
      </c>
      <c r="T77" s="1">
        <f t="shared" si="9"/>
        <v>2077</v>
      </c>
      <c r="U77" s="1"/>
      <c r="V77" s="336">
        <f t="shared" si="14"/>
        <v>0</v>
      </c>
      <c r="W77" s="336">
        <f t="shared" si="14"/>
        <v>0</v>
      </c>
      <c r="X77" s="336">
        <f t="shared" si="14"/>
        <v>0</v>
      </c>
    </row>
    <row r="78" spans="1:24" s="41" customFormat="1" ht="15" x14ac:dyDescent="0.25">
      <c r="A78" s="1">
        <v>62</v>
      </c>
      <c r="B78" s="1">
        <f t="shared" si="4"/>
        <v>2078</v>
      </c>
      <c r="C78" s="216"/>
      <c r="D78" s="217">
        <f t="shared" si="16"/>
        <v>0</v>
      </c>
      <c r="E78" s="217">
        <f t="shared" si="16"/>
        <v>0</v>
      </c>
      <c r="F78" s="217">
        <f t="shared" si="16"/>
        <v>0</v>
      </c>
      <c r="G78" s="1">
        <v>62</v>
      </c>
      <c r="H78" s="1">
        <f t="shared" si="5"/>
        <v>2078</v>
      </c>
      <c r="I78" s="1"/>
      <c r="J78" s="217">
        <f t="shared" si="12"/>
        <v>0</v>
      </c>
      <c r="K78" s="217">
        <f t="shared" si="12"/>
        <v>0</v>
      </c>
      <c r="L78" s="217">
        <f t="shared" si="12"/>
        <v>0</v>
      </c>
      <c r="M78" s="1">
        <v>62</v>
      </c>
      <c r="N78" s="1">
        <f t="shared" si="7"/>
        <v>2078</v>
      </c>
      <c r="O78" s="1"/>
      <c r="P78" s="217">
        <f t="shared" si="13"/>
        <v>0</v>
      </c>
      <c r="Q78" s="217">
        <f t="shared" si="13"/>
        <v>0</v>
      </c>
      <c r="R78" s="217">
        <f t="shared" si="13"/>
        <v>0</v>
      </c>
      <c r="S78" s="1">
        <v>62</v>
      </c>
      <c r="T78" s="1">
        <f t="shared" si="9"/>
        <v>2078</v>
      </c>
      <c r="U78" s="1"/>
      <c r="V78" s="336">
        <f t="shared" si="14"/>
        <v>0</v>
      </c>
      <c r="W78" s="336">
        <f t="shared" si="14"/>
        <v>0</v>
      </c>
      <c r="X78" s="336">
        <f t="shared" si="14"/>
        <v>0</v>
      </c>
    </row>
    <row r="79" spans="1:24" s="41" customFormat="1" ht="15" x14ac:dyDescent="0.25">
      <c r="A79" s="1">
        <v>63</v>
      </c>
      <c r="B79" s="1">
        <f t="shared" si="4"/>
        <v>2079</v>
      </c>
      <c r="C79" s="216"/>
      <c r="D79" s="217">
        <f t="shared" si="16"/>
        <v>0</v>
      </c>
      <c r="E79" s="217">
        <f t="shared" si="16"/>
        <v>0</v>
      </c>
      <c r="F79" s="217">
        <f t="shared" si="16"/>
        <v>0</v>
      </c>
      <c r="G79" s="1">
        <v>63</v>
      </c>
      <c r="H79" s="1">
        <f t="shared" si="5"/>
        <v>2079</v>
      </c>
      <c r="I79" s="1"/>
      <c r="J79" s="217">
        <f t="shared" si="12"/>
        <v>0</v>
      </c>
      <c r="K79" s="217">
        <f t="shared" si="12"/>
        <v>0</v>
      </c>
      <c r="L79" s="217">
        <f t="shared" si="12"/>
        <v>0</v>
      </c>
      <c r="M79" s="1">
        <v>63</v>
      </c>
      <c r="N79" s="1">
        <f t="shared" si="7"/>
        <v>2079</v>
      </c>
      <c r="O79" s="1"/>
      <c r="P79" s="217">
        <f t="shared" si="13"/>
        <v>0</v>
      </c>
      <c r="Q79" s="217">
        <f t="shared" si="13"/>
        <v>0</v>
      </c>
      <c r="R79" s="217">
        <f t="shared" si="13"/>
        <v>0</v>
      </c>
      <c r="S79" s="1">
        <v>63</v>
      </c>
      <c r="T79" s="1">
        <f t="shared" si="9"/>
        <v>2079</v>
      </c>
      <c r="U79" s="1"/>
      <c r="V79" s="336">
        <f t="shared" si="14"/>
        <v>0</v>
      </c>
      <c r="W79" s="336">
        <f t="shared" si="14"/>
        <v>0</v>
      </c>
      <c r="X79" s="336">
        <f t="shared" si="14"/>
        <v>0</v>
      </c>
    </row>
    <row r="80" spans="1:24" s="41" customFormat="1" ht="15" x14ac:dyDescent="0.25">
      <c r="A80" s="1">
        <v>64</v>
      </c>
      <c r="B80" s="1">
        <f t="shared" si="4"/>
        <v>2080</v>
      </c>
      <c r="C80" s="216"/>
      <c r="D80" s="217">
        <f t="shared" si="16"/>
        <v>0</v>
      </c>
      <c r="E80" s="217">
        <f t="shared" si="16"/>
        <v>0</v>
      </c>
      <c r="F80" s="217">
        <f t="shared" si="16"/>
        <v>0</v>
      </c>
      <c r="G80" s="1">
        <v>64</v>
      </c>
      <c r="H80" s="1">
        <f t="shared" si="5"/>
        <v>2080</v>
      </c>
      <c r="I80" s="1"/>
      <c r="J80" s="217">
        <f t="shared" si="12"/>
        <v>0</v>
      </c>
      <c r="K80" s="217">
        <f t="shared" si="12"/>
        <v>0</v>
      </c>
      <c r="L80" s="217">
        <f t="shared" si="12"/>
        <v>0</v>
      </c>
      <c r="M80" s="1">
        <v>64</v>
      </c>
      <c r="N80" s="1">
        <f t="shared" si="7"/>
        <v>2080</v>
      </c>
      <c r="O80" s="1"/>
      <c r="P80" s="217">
        <f t="shared" si="13"/>
        <v>0</v>
      </c>
      <c r="Q80" s="217">
        <f t="shared" si="13"/>
        <v>0</v>
      </c>
      <c r="R80" s="217">
        <f t="shared" si="13"/>
        <v>0</v>
      </c>
      <c r="S80" s="1">
        <v>64</v>
      </c>
      <c r="T80" s="1">
        <f t="shared" si="9"/>
        <v>2080</v>
      </c>
      <c r="U80" s="1"/>
      <c r="V80" s="336">
        <f t="shared" si="14"/>
        <v>0</v>
      </c>
      <c r="W80" s="336">
        <f t="shared" si="14"/>
        <v>0</v>
      </c>
      <c r="X80" s="336">
        <f t="shared" si="14"/>
        <v>0</v>
      </c>
    </row>
    <row r="81" spans="1:24" s="41" customFormat="1" ht="15" x14ac:dyDescent="0.25">
      <c r="A81" s="1">
        <v>65</v>
      </c>
      <c r="B81" s="1">
        <f t="shared" si="4"/>
        <v>2081</v>
      </c>
      <c r="C81" s="216"/>
      <c r="D81" s="217">
        <f t="shared" si="16"/>
        <v>0</v>
      </c>
      <c r="E81" s="217">
        <f t="shared" si="16"/>
        <v>0</v>
      </c>
      <c r="F81" s="217">
        <f t="shared" si="16"/>
        <v>0</v>
      </c>
      <c r="G81" s="1">
        <v>65</v>
      </c>
      <c r="H81" s="1">
        <f t="shared" si="5"/>
        <v>2081</v>
      </c>
      <c r="I81" s="1"/>
      <c r="J81" s="217">
        <f t="shared" si="12"/>
        <v>0</v>
      </c>
      <c r="K81" s="217">
        <f t="shared" si="12"/>
        <v>0</v>
      </c>
      <c r="L81" s="217">
        <f t="shared" si="12"/>
        <v>0</v>
      </c>
      <c r="M81" s="1">
        <v>65</v>
      </c>
      <c r="N81" s="1">
        <f t="shared" si="7"/>
        <v>2081</v>
      </c>
      <c r="O81" s="1"/>
      <c r="P81" s="217">
        <f t="shared" si="13"/>
        <v>0</v>
      </c>
      <c r="Q81" s="217">
        <f t="shared" si="13"/>
        <v>0</v>
      </c>
      <c r="R81" s="217">
        <f t="shared" si="13"/>
        <v>0</v>
      </c>
      <c r="S81" s="1">
        <v>65</v>
      </c>
      <c r="T81" s="1">
        <f t="shared" si="9"/>
        <v>2081</v>
      </c>
      <c r="U81" s="1"/>
      <c r="V81" s="336">
        <f t="shared" si="14"/>
        <v>0</v>
      </c>
      <c r="W81" s="336">
        <f t="shared" si="14"/>
        <v>0</v>
      </c>
      <c r="X81" s="336">
        <f t="shared" si="14"/>
        <v>0</v>
      </c>
    </row>
    <row r="82" spans="1:24" s="41" customFormat="1" ht="15" x14ac:dyDescent="0.25">
      <c r="A82" s="1">
        <v>66</v>
      </c>
      <c r="B82" s="1">
        <f t="shared" ref="B82:B101" si="17">2016+A82</f>
        <v>2082</v>
      </c>
      <c r="C82" s="216"/>
      <c r="D82" s="217">
        <f t="shared" si="16"/>
        <v>0</v>
      </c>
      <c r="E82" s="217">
        <f t="shared" si="16"/>
        <v>0</v>
      </c>
      <c r="F82" s="217">
        <f t="shared" si="16"/>
        <v>0</v>
      </c>
      <c r="G82" s="1">
        <v>66</v>
      </c>
      <c r="H82" s="1">
        <f t="shared" ref="H82:H101" si="18">2016+G82</f>
        <v>2082</v>
      </c>
      <c r="I82" s="1"/>
      <c r="J82" s="217">
        <f t="shared" ref="J82:L101" si="19">(IF((AND($G82&gt;=$H$5,$G82&lt;=$I$5)),J$105,0)+IF((AND($G82&gt;=$H$6,$G82&lt;=$I$6)),J$106,0)+IF((AND($G82&gt;=$H$7,$G82&lt;=$I$7)),J$107,0)+IF((AND($G82&gt;=$H$8,$G82&lt;=$I$8)),J$108,0)+IF((AND($G82&gt;=$H$9,$G82&lt;=$I$9)),J$109,0)+IF((AND($G82&gt;=$H$10,$G82&lt;=$I$10)),J$110,0))</f>
        <v>0</v>
      </c>
      <c r="K82" s="217">
        <f t="shared" si="19"/>
        <v>0</v>
      </c>
      <c r="L82" s="217">
        <f t="shared" si="19"/>
        <v>0</v>
      </c>
      <c r="M82" s="1">
        <v>66</v>
      </c>
      <c r="N82" s="1">
        <f t="shared" ref="N82:N101" si="20">2016+M82</f>
        <v>2082</v>
      </c>
      <c r="O82" s="1"/>
      <c r="P82" s="217">
        <f t="shared" ref="P82:R101" si="21">(IF((AND($M82&gt;=$N$5,$M82&lt;=$O$5)),P$105,0)+IF((AND($M82&gt;=$N$6,$M82&lt;=$O$6)),P$106,0)+IF((AND($M82&gt;=$N$7,$M82&lt;=$O$7)),P$107,0)+IF((AND($M82&gt;=$N$8,$M82&lt;=$O$8)),P$108,0)+IF((AND($M82&gt;=$N$9,$M82&lt;=$O$9)),P$109,0)+IF((AND($M82&gt;=$N$10,$M82&lt;=$O$10)),P$110,0))</f>
        <v>0</v>
      </c>
      <c r="Q82" s="217">
        <f t="shared" si="21"/>
        <v>0</v>
      </c>
      <c r="R82" s="217">
        <f t="shared" si="21"/>
        <v>0</v>
      </c>
      <c r="S82" s="1">
        <v>66</v>
      </c>
      <c r="T82" s="1">
        <f t="shared" ref="T82:T101" si="22">2016+S82</f>
        <v>2082</v>
      </c>
      <c r="U82" s="1"/>
      <c r="V82" s="336">
        <f t="shared" ref="V82:X101" si="23">(IF((AND($M82&gt;=$N$5,$M82&lt;=$O$5)),V$105,0)+IF((AND($M82&gt;=$N$6,$M82&lt;=$O$6)),V$106,0)+IF((AND($M82&gt;=$N$7,$M82&lt;=$O$7)),V$107,0)+IF((AND($M82&gt;=$N$8,$M82&lt;=$O$8)),V$108,0)+IF((AND($M82&gt;=$N$9,$M82&lt;=$O$9)),V$109,0)+IF((AND($M82&gt;=$N$10,$M82&lt;=$O$10)),V$110,0))</f>
        <v>0</v>
      </c>
      <c r="W82" s="336">
        <f t="shared" si="23"/>
        <v>0</v>
      </c>
      <c r="X82" s="336">
        <f t="shared" si="23"/>
        <v>0</v>
      </c>
    </row>
    <row r="83" spans="1:24" s="41" customFormat="1" ht="15" x14ac:dyDescent="0.25">
      <c r="A83" s="1">
        <v>67</v>
      </c>
      <c r="B83" s="1">
        <f t="shared" si="17"/>
        <v>2083</v>
      </c>
      <c r="C83" s="216"/>
      <c r="D83" s="217">
        <f t="shared" si="16"/>
        <v>0</v>
      </c>
      <c r="E83" s="217">
        <f t="shared" si="16"/>
        <v>0</v>
      </c>
      <c r="F83" s="217">
        <f t="shared" si="16"/>
        <v>0</v>
      </c>
      <c r="G83" s="1">
        <v>67</v>
      </c>
      <c r="H83" s="1">
        <f t="shared" si="18"/>
        <v>2083</v>
      </c>
      <c r="I83" s="1"/>
      <c r="J83" s="217">
        <f t="shared" si="19"/>
        <v>0</v>
      </c>
      <c r="K83" s="217">
        <f t="shared" si="19"/>
        <v>0</v>
      </c>
      <c r="L83" s="217">
        <f t="shared" si="19"/>
        <v>0</v>
      </c>
      <c r="M83" s="1">
        <v>67</v>
      </c>
      <c r="N83" s="1">
        <f t="shared" si="20"/>
        <v>2083</v>
      </c>
      <c r="O83" s="1"/>
      <c r="P83" s="217">
        <f t="shared" si="21"/>
        <v>0</v>
      </c>
      <c r="Q83" s="217">
        <f t="shared" si="21"/>
        <v>0</v>
      </c>
      <c r="R83" s="217">
        <f t="shared" si="21"/>
        <v>0</v>
      </c>
      <c r="S83" s="1">
        <v>67</v>
      </c>
      <c r="T83" s="1">
        <f t="shared" si="22"/>
        <v>2083</v>
      </c>
      <c r="U83" s="1"/>
      <c r="V83" s="336">
        <f t="shared" si="23"/>
        <v>0</v>
      </c>
      <c r="W83" s="336">
        <f t="shared" si="23"/>
        <v>0</v>
      </c>
      <c r="X83" s="336">
        <f t="shared" si="23"/>
        <v>0</v>
      </c>
    </row>
    <row r="84" spans="1:24" s="41" customFormat="1" ht="15" x14ac:dyDescent="0.25">
      <c r="A84" s="1">
        <v>68</v>
      </c>
      <c r="B84" s="1">
        <f t="shared" si="17"/>
        <v>2084</v>
      </c>
      <c r="C84" s="216"/>
      <c r="D84" s="217">
        <f t="shared" si="16"/>
        <v>0</v>
      </c>
      <c r="E84" s="217">
        <f t="shared" si="16"/>
        <v>0</v>
      </c>
      <c r="F84" s="217">
        <f t="shared" si="16"/>
        <v>0</v>
      </c>
      <c r="G84" s="1">
        <v>68</v>
      </c>
      <c r="H84" s="1">
        <f t="shared" si="18"/>
        <v>2084</v>
      </c>
      <c r="I84" s="1"/>
      <c r="J84" s="217">
        <f t="shared" si="19"/>
        <v>0</v>
      </c>
      <c r="K84" s="217">
        <f t="shared" si="19"/>
        <v>0</v>
      </c>
      <c r="L84" s="217">
        <f t="shared" si="19"/>
        <v>0</v>
      </c>
      <c r="M84" s="1">
        <v>68</v>
      </c>
      <c r="N84" s="1">
        <f t="shared" si="20"/>
        <v>2084</v>
      </c>
      <c r="O84" s="1"/>
      <c r="P84" s="217">
        <f t="shared" si="21"/>
        <v>0</v>
      </c>
      <c r="Q84" s="217">
        <f t="shared" si="21"/>
        <v>0</v>
      </c>
      <c r="R84" s="217">
        <f t="shared" si="21"/>
        <v>0</v>
      </c>
      <c r="S84" s="1">
        <v>68</v>
      </c>
      <c r="T84" s="1">
        <f t="shared" si="22"/>
        <v>2084</v>
      </c>
      <c r="U84" s="1"/>
      <c r="V84" s="336">
        <f t="shared" si="23"/>
        <v>0</v>
      </c>
      <c r="W84" s="336">
        <f t="shared" si="23"/>
        <v>0</v>
      </c>
      <c r="X84" s="336">
        <f t="shared" si="23"/>
        <v>0</v>
      </c>
    </row>
    <row r="85" spans="1:24" s="41" customFormat="1" ht="15" x14ac:dyDescent="0.25">
      <c r="A85" s="1">
        <v>69</v>
      </c>
      <c r="B85" s="1">
        <f t="shared" si="17"/>
        <v>2085</v>
      </c>
      <c r="C85" s="216"/>
      <c r="D85" s="217">
        <f t="shared" si="16"/>
        <v>0</v>
      </c>
      <c r="E85" s="217">
        <f t="shared" si="16"/>
        <v>0</v>
      </c>
      <c r="F85" s="217">
        <f t="shared" si="16"/>
        <v>0</v>
      </c>
      <c r="G85" s="1">
        <v>69</v>
      </c>
      <c r="H85" s="1">
        <f t="shared" si="18"/>
        <v>2085</v>
      </c>
      <c r="I85" s="1"/>
      <c r="J85" s="217">
        <f t="shared" si="19"/>
        <v>0</v>
      </c>
      <c r="K85" s="217">
        <f t="shared" si="19"/>
        <v>0</v>
      </c>
      <c r="L85" s="217">
        <f t="shared" si="19"/>
        <v>0</v>
      </c>
      <c r="M85" s="1">
        <v>69</v>
      </c>
      <c r="N85" s="1">
        <f t="shared" si="20"/>
        <v>2085</v>
      </c>
      <c r="O85" s="1"/>
      <c r="P85" s="217">
        <f t="shared" si="21"/>
        <v>0</v>
      </c>
      <c r="Q85" s="217">
        <f t="shared" si="21"/>
        <v>0</v>
      </c>
      <c r="R85" s="217">
        <f t="shared" si="21"/>
        <v>0</v>
      </c>
      <c r="S85" s="1">
        <v>69</v>
      </c>
      <c r="T85" s="1">
        <f t="shared" si="22"/>
        <v>2085</v>
      </c>
      <c r="U85" s="1"/>
      <c r="V85" s="336">
        <f t="shared" si="23"/>
        <v>0</v>
      </c>
      <c r="W85" s="336">
        <f t="shared" si="23"/>
        <v>0</v>
      </c>
      <c r="X85" s="336">
        <f t="shared" si="23"/>
        <v>0</v>
      </c>
    </row>
    <row r="86" spans="1:24" s="41" customFormat="1" ht="15" x14ac:dyDescent="0.25">
      <c r="A86" s="1">
        <v>70</v>
      </c>
      <c r="B86" s="1">
        <f t="shared" si="17"/>
        <v>2086</v>
      </c>
      <c r="C86" s="216"/>
      <c r="D86" s="217">
        <f t="shared" si="16"/>
        <v>0</v>
      </c>
      <c r="E86" s="217">
        <f t="shared" si="16"/>
        <v>0</v>
      </c>
      <c r="F86" s="217">
        <f t="shared" si="16"/>
        <v>0</v>
      </c>
      <c r="G86" s="1">
        <v>70</v>
      </c>
      <c r="H86" s="1">
        <f t="shared" si="18"/>
        <v>2086</v>
      </c>
      <c r="I86" s="1"/>
      <c r="J86" s="217">
        <f t="shared" si="19"/>
        <v>0</v>
      </c>
      <c r="K86" s="217">
        <f t="shared" si="19"/>
        <v>0</v>
      </c>
      <c r="L86" s="217">
        <f t="shared" si="19"/>
        <v>0</v>
      </c>
      <c r="M86" s="1">
        <v>70</v>
      </c>
      <c r="N86" s="1">
        <f t="shared" si="20"/>
        <v>2086</v>
      </c>
      <c r="O86" s="1"/>
      <c r="P86" s="217">
        <f t="shared" si="21"/>
        <v>0</v>
      </c>
      <c r="Q86" s="217">
        <f t="shared" si="21"/>
        <v>0</v>
      </c>
      <c r="R86" s="217">
        <f t="shared" si="21"/>
        <v>0</v>
      </c>
      <c r="S86" s="1">
        <v>70</v>
      </c>
      <c r="T86" s="1">
        <f t="shared" si="22"/>
        <v>2086</v>
      </c>
      <c r="U86" s="1"/>
      <c r="V86" s="336">
        <f t="shared" si="23"/>
        <v>0</v>
      </c>
      <c r="W86" s="336">
        <f t="shared" si="23"/>
        <v>0</v>
      </c>
      <c r="X86" s="336">
        <f t="shared" si="23"/>
        <v>0</v>
      </c>
    </row>
    <row r="87" spans="1:24" s="41" customFormat="1" ht="15" x14ac:dyDescent="0.25">
      <c r="A87" s="1">
        <v>71</v>
      </c>
      <c r="B87" s="1">
        <f t="shared" si="17"/>
        <v>2087</v>
      </c>
      <c r="C87" s="216"/>
      <c r="D87" s="217">
        <f t="shared" si="16"/>
        <v>0</v>
      </c>
      <c r="E87" s="217">
        <f t="shared" si="16"/>
        <v>0</v>
      </c>
      <c r="F87" s="217">
        <f t="shared" si="16"/>
        <v>0</v>
      </c>
      <c r="G87" s="1">
        <v>71</v>
      </c>
      <c r="H87" s="1">
        <f t="shared" si="18"/>
        <v>2087</v>
      </c>
      <c r="I87" s="1"/>
      <c r="J87" s="217">
        <f t="shared" si="19"/>
        <v>0</v>
      </c>
      <c r="K87" s="217">
        <f t="shared" si="19"/>
        <v>0</v>
      </c>
      <c r="L87" s="217">
        <f t="shared" si="19"/>
        <v>0</v>
      </c>
      <c r="M87" s="1">
        <v>71</v>
      </c>
      <c r="N87" s="1">
        <f t="shared" si="20"/>
        <v>2087</v>
      </c>
      <c r="O87" s="1"/>
      <c r="P87" s="217">
        <f t="shared" si="21"/>
        <v>0</v>
      </c>
      <c r="Q87" s="217">
        <f t="shared" si="21"/>
        <v>0</v>
      </c>
      <c r="R87" s="217">
        <f t="shared" si="21"/>
        <v>0</v>
      </c>
      <c r="S87" s="1">
        <v>71</v>
      </c>
      <c r="T87" s="1">
        <f t="shared" si="22"/>
        <v>2087</v>
      </c>
      <c r="U87" s="1"/>
      <c r="V87" s="336">
        <f t="shared" si="23"/>
        <v>0</v>
      </c>
      <c r="W87" s="336">
        <f t="shared" si="23"/>
        <v>0</v>
      </c>
      <c r="X87" s="336">
        <f t="shared" si="23"/>
        <v>0</v>
      </c>
    </row>
    <row r="88" spans="1:24" s="41" customFormat="1" ht="15" x14ac:dyDescent="0.25">
      <c r="A88" s="1">
        <v>72</v>
      </c>
      <c r="B88" s="1">
        <f t="shared" si="17"/>
        <v>2088</v>
      </c>
      <c r="C88" s="216"/>
      <c r="D88" s="217">
        <f t="shared" si="16"/>
        <v>0</v>
      </c>
      <c r="E88" s="217">
        <f t="shared" si="16"/>
        <v>0</v>
      </c>
      <c r="F88" s="217">
        <f t="shared" si="16"/>
        <v>0</v>
      </c>
      <c r="G88" s="1">
        <v>72</v>
      </c>
      <c r="H88" s="1">
        <f t="shared" si="18"/>
        <v>2088</v>
      </c>
      <c r="I88" s="1"/>
      <c r="J88" s="217">
        <f t="shared" si="19"/>
        <v>0</v>
      </c>
      <c r="K88" s="217">
        <f t="shared" si="19"/>
        <v>0</v>
      </c>
      <c r="L88" s="217">
        <f t="shared" si="19"/>
        <v>0</v>
      </c>
      <c r="M88" s="1">
        <v>72</v>
      </c>
      <c r="N88" s="1">
        <f t="shared" si="20"/>
        <v>2088</v>
      </c>
      <c r="O88" s="1"/>
      <c r="P88" s="217">
        <f t="shared" si="21"/>
        <v>0</v>
      </c>
      <c r="Q88" s="217">
        <f t="shared" si="21"/>
        <v>0</v>
      </c>
      <c r="R88" s="217">
        <f t="shared" si="21"/>
        <v>0</v>
      </c>
      <c r="S88" s="1">
        <v>72</v>
      </c>
      <c r="T88" s="1">
        <f t="shared" si="22"/>
        <v>2088</v>
      </c>
      <c r="U88" s="1"/>
      <c r="V88" s="336">
        <f t="shared" si="23"/>
        <v>0</v>
      </c>
      <c r="W88" s="336">
        <f t="shared" si="23"/>
        <v>0</v>
      </c>
      <c r="X88" s="336">
        <f t="shared" si="23"/>
        <v>0</v>
      </c>
    </row>
    <row r="89" spans="1:24" s="41" customFormat="1" ht="15" x14ac:dyDescent="0.25">
      <c r="A89" s="1">
        <v>73</v>
      </c>
      <c r="B89" s="1">
        <f t="shared" si="17"/>
        <v>2089</v>
      </c>
      <c r="C89" s="216"/>
      <c r="D89" s="217">
        <f t="shared" si="16"/>
        <v>0</v>
      </c>
      <c r="E89" s="217">
        <f t="shared" si="16"/>
        <v>0</v>
      </c>
      <c r="F89" s="217">
        <f t="shared" si="16"/>
        <v>0</v>
      </c>
      <c r="G89" s="1">
        <v>73</v>
      </c>
      <c r="H89" s="1">
        <f t="shared" si="18"/>
        <v>2089</v>
      </c>
      <c r="I89" s="1"/>
      <c r="J89" s="217">
        <f t="shared" si="19"/>
        <v>0</v>
      </c>
      <c r="K89" s="217">
        <f t="shared" si="19"/>
        <v>0</v>
      </c>
      <c r="L89" s="217">
        <f t="shared" si="19"/>
        <v>0</v>
      </c>
      <c r="M89" s="1">
        <v>73</v>
      </c>
      <c r="N89" s="1">
        <f t="shared" si="20"/>
        <v>2089</v>
      </c>
      <c r="O89" s="1"/>
      <c r="P89" s="217">
        <f t="shared" si="21"/>
        <v>0</v>
      </c>
      <c r="Q89" s="217">
        <f t="shared" si="21"/>
        <v>0</v>
      </c>
      <c r="R89" s="217">
        <f t="shared" si="21"/>
        <v>0</v>
      </c>
      <c r="S89" s="1">
        <v>73</v>
      </c>
      <c r="T89" s="1">
        <f t="shared" si="22"/>
        <v>2089</v>
      </c>
      <c r="U89" s="1"/>
      <c r="V89" s="336">
        <f t="shared" si="23"/>
        <v>0</v>
      </c>
      <c r="W89" s="336">
        <f t="shared" si="23"/>
        <v>0</v>
      </c>
      <c r="X89" s="336">
        <f t="shared" si="23"/>
        <v>0</v>
      </c>
    </row>
    <row r="90" spans="1:24" s="41" customFormat="1" ht="15" x14ac:dyDescent="0.25">
      <c r="A90" s="1">
        <v>74</v>
      </c>
      <c r="B90" s="1">
        <f t="shared" si="17"/>
        <v>2090</v>
      </c>
      <c r="C90" s="216"/>
      <c r="D90" s="217">
        <f t="shared" si="16"/>
        <v>0</v>
      </c>
      <c r="E90" s="217">
        <f t="shared" si="16"/>
        <v>0</v>
      </c>
      <c r="F90" s="217">
        <f t="shared" si="16"/>
        <v>0</v>
      </c>
      <c r="G90" s="1">
        <v>74</v>
      </c>
      <c r="H90" s="1">
        <f t="shared" si="18"/>
        <v>2090</v>
      </c>
      <c r="I90" s="1"/>
      <c r="J90" s="217">
        <f t="shared" si="19"/>
        <v>0</v>
      </c>
      <c r="K90" s="217">
        <f t="shared" si="19"/>
        <v>0</v>
      </c>
      <c r="L90" s="217">
        <f t="shared" si="19"/>
        <v>0</v>
      </c>
      <c r="M90" s="1">
        <v>74</v>
      </c>
      <c r="N90" s="1">
        <f t="shared" si="20"/>
        <v>2090</v>
      </c>
      <c r="O90" s="1"/>
      <c r="P90" s="217">
        <f t="shared" si="21"/>
        <v>0</v>
      </c>
      <c r="Q90" s="217">
        <f t="shared" si="21"/>
        <v>0</v>
      </c>
      <c r="R90" s="217">
        <f t="shared" si="21"/>
        <v>0</v>
      </c>
      <c r="S90" s="1">
        <v>74</v>
      </c>
      <c r="T90" s="1">
        <f t="shared" si="22"/>
        <v>2090</v>
      </c>
      <c r="U90" s="1"/>
      <c r="V90" s="336">
        <f t="shared" si="23"/>
        <v>0</v>
      </c>
      <c r="W90" s="336">
        <f t="shared" si="23"/>
        <v>0</v>
      </c>
      <c r="X90" s="336">
        <f t="shared" si="23"/>
        <v>0</v>
      </c>
    </row>
    <row r="91" spans="1:24" s="41" customFormat="1" ht="15" x14ac:dyDescent="0.25">
      <c r="A91" s="1">
        <v>75</v>
      </c>
      <c r="B91" s="1">
        <f t="shared" si="17"/>
        <v>2091</v>
      </c>
      <c r="C91" s="216"/>
      <c r="D91" s="217">
        <f t="shared" si="16"/>
        <v>0</v>
      </c>
      <c r="E91" s="217">
        <f t="shared" si="16"/>
        <v>0</v>
      </c>
      <c r="F91" s="217">
        <f t="shared" si="16"/>
        <v>0</v>
      </c>
      <c r="G91" s="1">
        <v>75</v>
      </c>
      <c r="H91" s="1">
        <f t="shared" si="18"/>
        <v>2091</v>
      </c>
      <c r="I91" s="1"/>
      <c r="J91" s="217">
        <f t="shared" si="19"/>
        <v>0</v>
      </c>
      <c r="K91" s="217">
        <f t="shared" si="19"/>
        <v>0</v>
      </c>
      <c r="L91" s="217">
        <f t="shared" si="19"/>
        <v>0</v>
      </c>
      <c r="M91" s="1">
        <v>75</v>
      </c>
      <c r="N91" s="1">
        <f t="shared" si="20"/>
        <v>2091</v>
      </c>
      <c r="O91" s="1"/>
      <c r="P91" s="217">
        <f t="shared" si="21"/>
        <v>0</v>
      </c>
      <c r="Q91" s="217">
        <f t="shared" si="21"/>
        <v>0</v>
      </c>
      <c r="R91" s="217">
        <f t="shared" si="21"/>
        <v>0</v>
      </c>
      <c r="S91" s="1">
        <v>75</v>
      </c>
      <c r="T91" s="1">
        <f t="shared" si="22"/>
        <v>2091</v>
      </c>
      <c r="U91" s="1"/>
      <c r="V91" s="336">
        <f t="shared" si="23"/>
        <v>0</v>
      </c>
      <c r="W91" s="336">
        <f t="shared" si="23"/>
        <v>0</v>
      </c>
      <c r="X91" s="336">
        <f t="shared" si="23"/>
        <v>0</v>
      </c>
    </row>
    <row r="92" spans="1:24" s="41" customFormat="1" ht="15" x14ac:dyDescent="0.25">
      <c r="A92" s="1">
        <v>76</v>
      </c>
      <c r="B92" s="1">
        <f t="shared" si="17"/>
        <v>2092</v>
      </c>
      <c r="C92" s="216"/>
      <c r="D92" s="217">
        <f t="shared" si="16"/>
        <v>0</v>
      </c>
      <c r="E92" s="217">
        <f t="shared" si="16"/>
        <v>0</v>
      </c>
      <c r="F92" s="217">
        <f t="shared" si="16"/>
        <v>0</v>
      </c>
      <c r="G92" s="1">
        <v>76</v>
      </c>
      <c r="H92" s="1">
        <f t="shared" si="18"/>
        <v>2092</v>
      </c>
      <c r="I92" s="1"/>
      <c r="J92" s="217">
        <f t="shared" si="19"/>
        <v>0</v>
      </c>
      <c r="K92" s="217">
        <f t="shared" si="19"/>
        <v>0</v>
      </c>
      <c r="L92" s="217">
        <f t="shared" si="19"/>
        <v>0</v>
      </c>
      <c r="M92" s="1">
        <v>76</v>
      </c>
      <c r="N92" s="1">
        <f t="shared" si="20"/>
        <v>2092</v>
      </c>
      <c r="O92" s="1"/>
      <c r="P92" s="217">
        <f t="shared" si="21"/>
        <v>0</v>
      </c>
      <c r="Q92" s="217">
        <f t="shared" si="21"/>
        <v>0</v>
      </c>
      <c r="R92" s="217">
        <f t="shared" si="21"/>
        <v>0</v>
      </c>
      <c r="S92" s="1">
        <v>76</v>
      </c>
      <c r="T92" s="1">
        <f t="shared" si="22"/>
        <v>2092</v>
      </c>
      <c r="U92" s="1"/>
      <c r="V92" s="336">
        <f t="shared" si="23"/>
        <v>0</v>
      </c>
      <c r="W92" s="336">
        <f t="shared" si="23"/>
        <v>0</v>
      </c>
      <c r="X92" s="336">
        <f t="shared" si="23"/>
        <v>0</v>
      </c>
    </row>
    <row r="93" spans="1:24" s="41" customFormat="1" ht="15" x14ac:dyDescent="0.25">
      <c r="A93" s="1">
        <v>77</v>
      </c>
      <c r="B93" s="1">
        <f t="shared" si="17"/>
        <v>2093</v>
      </c>
      <c r="C93" s="216"/>
      <c r="D93" s="217">
        <f t="shared" si="16"/>
        <v>0</v>
      </c>
      <c r="E93" s="217">
        <f t="shared" si="16"/>
        <v>0</v>
      </c>
      <c r="F93" s="217">
        <f t="shared" si="16"/>
        <v>0</v>
      </c>
      <c r="G93" s="1">
        <v>77</v>
      </c>
      <c r="H93" s="1">
        <f t="shared" si="18"/>
        <v>2093</v>
      </c>
      <c r="I93" s="1"/>
      <c r="J93" s="217">
        <f t="shared" si="19"/>
        <v>0</v>
      </c>
      <c r="K93" s="217">
        <f t="shared" si="19"/>
        <v>0</v>
      </c>
      <c r="L93" s="217">
        <f t="shared" si="19"/>
        <v>0</v>
      </c>
      <c r="M93" s="1">
        <v>77</v>
      </c>
      <c r="N93" s="1">
        <f t="shared" si="20"/>
        <v>2093</v>
      </c>
      <c r="O93" s="1"/>
      <c r="P93" s="217">
        <f t="shared" si="21"/>
        <v>0</v>
      </c>
      <c r="Q93" s="217">
        <f t="shared" si="21"/>
        <v>0</v>
      </c>
      <c r="R93" s="217">
        <f t="shared" si="21"/>
        <v>0</v>
      </c>
      <c r="S93" s="1">
        <v>77</v>
      </c>
      <c r="T93" s="1">
        <f t="shared" si="22"/>
        <v>2093</v>
      </c>
      <c r="U93" s="1"/>
      <c r="V93" s="336">
        <f t="shared" si="23"/>
        <v>0</v>
      </c>
      <c r="W93" s="336">
        <f t="shared" si="23"/>
        <v>0</v>
      </c>
      <c r="X93" s="336">
        <f t="shared" si="23"/>
        <v>0</v>
      </c>
    </row>
    <row r="94" spans="1:24" s="41" customFormat="1" ht="15" x14ac:dyDescent="0.25">
      <c r="A94" s="1">
        <v>78</v>
      </c>
      <c r="B94" s="1">
        <f t="shared" si="17"/>
        <v>2094</v>
      </c>
      <c r="C94" s="216"/>
      <c r="D94" s="217">
        <f t="shared" si="16"/>
        <v>0</v>
      </c>
      <c r="E94" s="217">
        <f t="shared" si="16"/>
        <v>0</v>
      </c>
      <c r="F94" s="217">
        <f t="shared" si="16"/>
        <v>0</v>
      </c>
      <c r="G94" s="1">
        <v>78</v>
      </c>
      <c r="H94" s="1">
        <f t="shared" si="18"/>
        <v>2094</v>
      </c>
      <c r="I94" s="1"/>
      <c r="J94" s="217">
        <f t="shared" si="19"/>
        <v>0</v>
      </c>
      <c r="K94" s="217">
        <f t="shared" si="19"/>
        <v>0</v>
      </c>
      <c r="L94" s="217">
        <f t="shared" si="19"/>
        <v>0</v>
      </c>
      <c r="M94" s="1">
        <v>78</v>
      </c>
      <c r="N94" s="1">
        <f t="shared" si="20"/>
        <v>2094</v>
      </c>
      <c r="O94" s="1"/>
      <c r="P94" s="217">
        <f t="shared" si="21"/>
        <v>0</v>
      </c>
      <c r="Q94" s="217">
        <f t="shared" si="21"/>
        <v>0</v>
      </c>
      <c r="R94" s="217">
        <f t="shared" si="21"/>
        <v>0</v>
      </c>
      <c r="S94" s="1">
        <v>78</v>
      </c>
      <c r="T94" s="1">
        <f t="shared" si="22"/>
        <v>2094</v>
      </c>
      <c r="U94" s="1"/>
      <c r="V94" s="336">
        <f t="shared" si="23"/>
        <v>0</v>
      </c>
      <c r="W94" s="336">
        <f t="shared" si="23"/>
        <v>0</v>
      </c>
      <c r="X94" s="336">
        <f t="shared" si="23"/>
        <v>0</v>
      </c>
    </row>
    <row r="95" spans="1:24" s="41" customFormat="1" ht="15" x14ac:dyDescent="0.25">
      <c r="A95" s="1">
        <v>79</v>
      </c>
      <c r="B95" s="1">
        <f t="shared" si="17"/>
        <v>2095</v>
      </c>
      <c r="C95" s="216"/>
      <c r="D95" s="217">
        <f t="shared" si="16"/>
        <v>0</v>
      </c>
      <c r="E95" s="217">
        <f t="shared" si="16"/>
        <v>0</v>
      </c>
      <c r="F95" s="217">
        <f t="shared" si="16"/>
        <v>0</v>
      </c>
      <c r="G95" s="1">
        <v>79</v>
      </c>
      <c r="H95" s="1">
        <f t="shared" si="18"/>
        <v>2095</v>
      </c>
      <c r="I95" s="1"/>
      <c r="J95" s="217">
        <f t="shared" si="19"/>
        <v>0</v>
      </c>
      <c r="K95" s="217">
        <f t="shared" si="19"/>
        <v>0</v>
      </c>
      <c r="L95" s="217">
        <f t="shared" si="19"/>
        <v>0</v>
      </c>
      <c r="M95" s="1">
        <v>79</v>
      </c>
      <c r="N95" s="1">
        <f t="shared" si="20"/>
        <v>2095</v>
      </c>
      <c r="O95" s="1"/>
      <c r="P95" s="217">
        <f t="shared" si="21"/>
        <v>0</v>
      </c>
      <c r="Q95" s="217">
        <f t="shared" si="21"/>
        <v>0</v>
      </c>
      <c r="R95" s="217">
        <f t="shared" si="21"/>
        <v>0</v>
      </c>
      <c r="S95" s="1">
        <v>79</v>
      </c>
      <c r="T95" s="1">
        <f t="shared" si="22"/>
        <v>2095</v>
      </c>
      <c r="U95" s="1"/>
      <c r="V95" s="336">
        <f t="shared" si="23"/>
        <v>0</v>
      </c>
      <c r="W95" s="336">
        <f t="shared" si="23"/>
        <v>0</v>
      </c>
      <c r="X95" s="336">
        <f t="shared" si="23"/>
        <v>0</v>
      </c>
    </row>
    <row r="96" spans="1:24" s="41" customFormat="1" ht="15" x14ac:dyDescent="0.25">
      <c r="A96" s="1">
        <v>80</v>
      </c>
      <c r="B96" s="1">
        <f t="shared" si="17"/>
        <v>2096</v>
      </c>
      <c r="C96" s="216"/>
      <c r="D96" s="217">
        <f t="shared" si="16"/>
        <v>0</v>
      </c>
      <c r="E96" s="217">
        <f t="shared" si="16"/>
        <v>0</v>
      </c>
      <c r="F96" s="217">
        <f t="shared" si="16"/>
        <v>0</v>
      </c>
      <c r="G96" s="1">
        <v>80</v>
      </c>
      <c r="H96" s="1">
        <f t="shared" si="18"/>
        <v>2096</v>
      </c>
      <c r="I96" s="1"/>
      <c r="J96" s="217">
        <f t="shared" si="19"/>
        <v>0</v>
      </c>
      <c r="K96" s="217">
        <f t="shared" si="19"/>
        <v>0</v>
      </c>
      <c r="L96" s="217">
        <f t="shared" si="19"/>
        <v>0</v>
      </c>
      <c r="M96" s="1">
        <v>80</v>
      </c>
      <c r="N96" s="1">
        <f t="shared" si="20"/>
        <v>2096</v>
      </c>
      <c r="O96" s="1"/>
      <c r="P96" s="217">
        <f t="shared" si="21"/>
        <v>0</v>
      </c>
      <c r="Q96" s="217">
        <f t="shared" si="21"/>
        <v>0</v>
      </c>
      <c r="R96" s="217">
        <f t="shared" si="21"/>
        <v>0</v>
      </c>
      <c r="S96" s="1">
        <v>80</v>
      </c>
      <c r="T96" s="1">
        <f t="shared" si="22"/>
        <v>2096</v>
      </c>
      <c r="U96" s="1"/>
      <c r="V96" s="336">
        <f t="shared" si="23"/>
        <v>0</v>
      </c>
      <c r="W96" s="336">
        <f t="shared" si="23"/>
        <v>0</v>
      </c>
      <c r="X96" s="336">
        <f t="shared" si="23"/>
        <v>0</v>
      </c>
    </row>
    <row r="97" spans="1:24" s="41" customFormat="1" ht="15" x14ac:dyDescent="0.25">
      <c r="A97" s="1">
        <v>81</v>
      </c>
      <c r="B97" s="1">
        <f t="shared" si="17"/>
        <v>2097</v>
      </c>
      <c r="C97" s="216"/>
      <c r="D97" s="217">
        <f t="shared" si="16"/>
        <v>0</v>
      </c>
      <c r="E97" s="217">
        <f t="shared" si="16"/>
        <v>0</v>
      </c>
      <c r="F97" s="217">
        <f t="shared" si="16"/>
        <v>0</v>
      </c>
      <c r="G97" s="1">
        <v>81</v>
      </c>
      <c r="H97" s="1">
        <f t="shared" si="18"/>
        <v>2097</v>
      </c>
      <c r="I97" s="1"/>
      <c r="J97" s="217">
        <f t="shared" si="19"/>
        <v>0</v>
      </c>
      <c r="K97" s="217">
        <f t="shared" si="19"/>
        <v>0</v>
      </c>
      <c r="L97" s="217">
        <f t="shared" si="19"/>
        <v>0</v>
      </c>
      <c r="M97" s="1">
        <v>81</v>
      </c>
      <c r="N97" s="1">
        <f t="shared" si="20"/>
        <v>2097</v>
      </c>
      <c r="O97" s="1"/>
      <c r="P97" s="217">
        <f t="shared" si="21"/>
        <v>0</v>
      </c>
      <c r="Q97" s="217">
        <f t="shared" si="21"/>
        <v>0</v>
      </c>
      <c r="R97" s="217">
        <f t="shared" si="21"/>
        <v>0</v>
      </c>
      <c r="S97" s="1">
        <v>81</v>
      </c>
      <c r="T97" s="1">
        <f t="shared" si="22"/>
        <v>2097</v>
      </c>
      <c r="U97" s="1"/>
      <c r="V97" s="336">
        <f t="shared" si="23"/>
        <v>0</v>
      </c>
      <c r="W97" s="336">
        <f t="shared" si="23"/>
        <v>0</v>
      </c>
      <c r="X97" s="336">
        <f t="shared" si="23"/>
        <v>0</v>
      </c>
    </row>
    <row r="98" spans="1:24" s="41" customFormat="1" ht="15" x14ac:dyDescent="0.25">
      <c r="A98" s="1">
        <v>82</v>
      </c>
      <c r="B98" s="1">
        <f t="shared" si="17"/>
        <v>2098</v>
      </c>
      <c r="C98" s="216"/>
      <c r="D98" s="217">
        <f t="shared" si="16"/>
        <v>0</v>
      </c>
      <c r="E98" s="217">
        <f t="shared" si="16"/>
        <v>0</v>
      </c>
      <c r="F98" s="217">
        <f t="shared" si="16"/>
        <v>0</v>
      </c>
      <c r="G98" s="1">
        <v>82</v>
      </c>
      <c r="H98" s="1">
        <f t="shared" si="18"/>
        <v>2098</v>
      </c>
      <c r="I98" s="1"/>
      <c r="J98" s="217">
        <f t="shared" si="19"/>
        <v>0</v>
      </c>
      <c r="K98" s="217">
        <f t="shared" si="19"/>
        <v>0</v>
      </c>
      <c r="L98" s="217">
        <f t="shared" si="19"/>
        <v>0</v>
      </c>
      <c r="M98" s="1">
        <v>82</v>
      </c>
      <c r="N98" s="1">
        <f t="shared" si="20"/>
        <v>2098</v>
      </c>
      <c r="O98" s="1"/>
      <c r="P98" s="217">
        <f t="shared" si="21"/>
        <v>0</v>
      </c>
      <c r="Q98" s="217">
        <f t="shared" si="21"/>
        <v>0</v>
      </c>
      <c r="R98" s="217">
        <f t="shared" si="21"/>
        <v>0</v>
      </c>
      <c r="S98" s="1">
        <v>82</v>
      </c>
      <c r="T98" s="1">
        <f t="shared" si="22"/>
        <v>2098</v>
      </c>
      <c r="U98" s="1"/>
      <c r="V98" s="336">
        <f t="shared" si="23"/>
        <v>0</v>
      </c>
      <c r="W98" s="336">
        <f t="shared" si="23"/>
        <v>0</v>
      </c>
      <c r="X98" s="336">
        <f t="shared" si="23"/>
        <v>0</v>
      </c>
    </row>
    <row r="99" spans="1:24" s="41" customFormat="1" ht="15" x14ac:dyDescent="0.25">
      <c r="A99" s="1">
        <v>83</v>
      </c>
      <c r="B99" s="1">
        <f t="shared" si="17"/>
        <v>2099</v>
      </c>
      <c r="C99" s="216"/>
      <c r="D99" s="217">
        <f t="shared" si="16"/>
        <v>0</v>
      </c>
      <c r="E99" s="217">
        <f t="shared" si="16"/>
        <v>0</v>
      </c>
      <c r="F99" s="217">
        <f t="shared" si="16"/>
        <v>0</v>
      </c>
      <c r="G99" s="1">
        <v>83</v>
      </c>
      <c r="H99" s="1">
        <f t="shared" si="18"/>
        <v>2099</v>
      </c>
      <c r="I99" s="1"/>
      <c r="J99" s="217">
        <f t="shared" si="19"/>
        <v>0</v>
      </c>
      <c r="K99" s="217">
        <f t="shared" si="19"/>
        <v>0</v>
      </c>
      <c r="L99" s="217">
        <f t="shared" si="19"/>
        <v>0</v>
      </c>
      <c r="M99" s="1">
        <v>83</v>
      </c>
      <c r="N99" s="1">
        <f t="shared" si="20"/>
        <v>2099</v>
      </c>
      <c r="O99" s="1"/>
      <c r="P99" s="217">
        <f t="shared" si="21"/>
        <v>0</v>
      </c>
      <c r="Q99" s="217">
        <f t="shared" si="21"/>
        <v>0</v>
      </c>
      <c r="R99" s="217">
        <f t="shared" si="21"/>
        <v>0</v>
      </c>
      <c r="S99" s="1">
        <v>83</v>
      </c>
      <c r="T99" s="1">
        <f t="shared" si="22"/>
        <v>2099</v>
      </c>
      <c r="U99" s="1"/>
      <c r="V99" s="336">
        <f t="shared" si="23"/>
        <v>0</v>
      </c>
      <c r="W99" s="336">
        <f t="shared" si="23"/>
        <v>0</v>
      </c>
      <c r="X99" s="336">
        <f t="shared" si="23"/>
        <v>0</v>
      </c>
    </row>
    <row r="100" spans="1:24" s="41" customFormat="1" ht="15" x14ac:dyDescent="0.25">
      <c r="A100" s="1">
        <v>84</v>
      </c>
      <c r="B100" s="1">
        <f t="shared" si="17"/>
        <v>2100</v>
      </c>
      <c r="C100" s="216"/>
      <c r="D100" s="217">
        <f t="shared" si="16"/>
        <v>0</v>
      </c>
      <c r="E100" s="217">
        <f t="shared" si="16"/>
        <v>0</v>
      </c>
      <c r="F100" s="217">
        <f t="shared" si="16"/>
        <v>0</v>
      </c>
      <c r="G100" s="1">
        <v>84</v>
      </c>
      <c r="H100" s="1">
        <f t="shared" si="18"/>
        <v>2100</v>
      </c>
      <c r="I100" s="1"/>
      <c r="J100" s="217">
        <f t="shared" si="19"/>
        <v>0</v>
      </c>
      <c r="K100" s="217">
        <f t="shared" si="19"/>
        <v>0</v>
      </c>
      <c r="L100" s="217">
        <f t="shared" si="19"/>
        <v>0</v>
      </c>
      <c r="M100" s="1">
        <v>84</v>
      </c>
      <c r="N100" s="1">
        <f t="shared" si="20"/>
        <v>2100</v>
      </c>
      <c r="O100" s="1"/>
      <c r="P100" s="217">
        <f t="shared" si="21"/>
        <v>0</v>
      </c>
      <c r="Q100" s="217">
        <f t="shared" si="21"/>
        <v>0</v>
      </c>
      <c r="R100" s="217">
        <f t="shared" si="21"/>
        <v>0</v>
      </c>
      <c r="S100" s="1">
        <v>84</v>
      </c>
      <c r="T100" s="1">
        <f t="shared" si="22"/>
        <v>2100</v>
      </c>
      <c r="U100" s="1"/>
      <c r="V100" s="336">
        <f t="shared" si="23"/>
        <v>0</v>
      </c>
      <c r="W100" s="336">
        <f t="shared" si="23"/>
        <v>0</v>
      </c>
      <c r="X100" s="336">
        <f t="shared" si="23"/>
        <v>0</v>
      </c>
    </row>
    <row r="101" spans="1:24" s="41" customFormat="1" ht="15" x14ac:dyDescent="0.25">
      <c r="A101" s="1">
        <v>85</v>
      </c>
      <c r="B101" s="1">
        <f t="shared" si="17"/>
        <v>2101</v>
      </c>
      <c r="C101" s="216"/>
      <c r="D101" s="217">
        <f t="shared" si="16"/>
        <v>0</v>
      </c>
      <c r="E101" s="217">
        <f t="shared" si="16"/>
        <v>0</v>
      </c>
      <c r="F101" s="217">
        <f t="shared" si="16"/>
        <v>0</v>
      </c>
      <c r="G101" s="1">
        <v>85</v>
      </c>
      <c r="H101" s="1">
        <f t="shared" si="18"/>
        <v>2101</v>
      </c>
      <c r="I101" s="1"/>
      <c r="J101" s="217">
        <f t="shared" si="19"/>
        <v>0</v>
      </c>
      <c r="K101" s="217">
        <f t="shared" si="19"/>
        <v>0</v>
      </c>
      <c r="L101" s="217">
        <f t="shared" si="19"/>
        <v>0</v>
      </c>
      <c r="M101" s="1">
        <v>85</v>
      </c>
      <c r="N101" s="1">
        <f t="shared" si="20"/>
        <v>2101</v>
      </c>
      <c r="O101" s="1"/>
      <c r="P101" s="217">
        <f t="shared" si="21"/>
        <v>0</v>
      </c>
      <c r="Q101" s="217">
        <f t="shared" si="21"/>
        <v>0</v>
      </c>
      <c r="R101" s="217">
        <f t="shared" si="21"/>
        <v>0</v>
      </c>
      <c r="S101" s="1">
        <v>85</v>
      </c>
      <c r="T101" s="1">
        <f t="shared" si="22"/>
        <v>2101</v>
      </c>
      <c r="U101" s="1"/>
      <c r="V101" s="336">
        <f t="shared" si="23"/>
        <v>0</v>
      </c>
      <c r="W101" s="336">
        <f t="shared" si="23"/>
        <v>0</v>
      </c>
      <c r="X101" s="336">
        <f t="shared" si="23"/>
        <v>0</v>
      </c>
    </row>
    <row r="102" spans="1:24" s="41" customFormat="1" ht="15" x14ac:dyDescent="0.25">
      <c r="A102" s="1"/>
      <c r="B102" s="1"/>
      <c r="C102" s="1"/>
      <c r="D102" s="1"/>
      <c r="E102" s="1"/>
      <c r="G102" s="101"/>
      <c r="H102" s="101"/>
      <c r="I102" s="101"/>
      <c r="J102" s="101"/>
      <c r="K102" s="101"/>
      <c r="L102" s="101"/>
      <c r="M102" s="101"/>
      <c r="N102" s="101"/>
      <c r="S102" s="101"/>
      <c r="T102" s="101"/>
    </row>
    <row r="103" spans="1:24" s="41" customFormat="1" ht="15" x14ac:dyDescent="0.25">
      <c r="A103" s="1"/>
      <c r="B103" s="1"/>
      <c r="C103" s="1"/>
      <c r="D103" s="1"/>
      <c r="E103" s="1"/>
      <c r="G103" s="101"/>
      <c r="H103" s="101"/>
      <c r="I103" s="101"/>
      <c r="J103" s="101"/>
      <c r="K103" s="101"/>
      <c r="L103" s="101"/>
      <c r="M103" s="101"/>
      <c r="N103" s="101"/>
      <c r="S103" s="101"/>
      <c r="T103" s="101"/>
    </row>
    <row r="104" spans="1:24" s="39" customFormat="1" ht="15" x14ac:dyDescent="0.25">
      <c r="A104" s="223" t="s">
        <v>173</v>
      </c>
      <c r="B104" s="223" t="s">
        <v>172</v>
      </c>
      <c r="C104" s="223"/>
      <c r="D104" s="223" t="s">
        <v>8</v>
      </c>
      <c r="E104" s="223" t="s">
        <v>6</v>
      </c>
      <c r="F104" s="126" t="s">
        <v>7</v>
      </c>
      <c r="G104" s="223" t="s">
        <v>173</v>
      </c>
      <c r="H104" s="223" t="s">
        <v>172</v>
      </c>
      <c r="I104" s="127"/>
      <c r="J104" s="223" t="s">
        <v>8</v>
      </c>
      <c r="K104" s="223" t="s">
        <v>6</v>
      </c>
      <c r="L104" s="126" t="s">
        <v>7</v>
      </c>
      <c r="M104" s="223" t="s">
        <v>173</v>
      </c>
      <c r="N104" s="223" t="s">
        <v>172</v>
      </c>
      <c r="O104" s="126"/>
      <c r="P104" s="223" t="s">
        <v>8</v>
      </c>
      <c r="Q104" s="223" t="s">
        <v>6</v>
      </c>
      <c r="R104" s="126" t="s">
        <v>7</v>
      </c>
      <c r="S104" s="223" t="s">
        <v>173</v>
      </c>
      <c r="T104" s="223" t="s">
        <v>172</v>
      </c>
      <c r="U104" s="126"/>
      <c r="V104" s="223" t="s">
        <v>8</v>
      </c>
      <c r="W104" s="223" t="s">
        <v>6</v>
      </c>
      <c r="X104" s="126" t="s">
        <v>7</v>
      </c>
    </row>
    <row r="105" spans="1:24" s="41" customFormat="1" ht="15" x14ac:dyDescent="0.25">
      <c r="A105" s="221" t="str">
        <f t="shared" ref="A105:A110" si="24">A5</f>
        <v>Setback Levee</v>
      </c>
      <c r="B105" s="221">
        <f t="shared" ref="B105:B110" si="25">C5-B5+1</f>
        <v>1</v>
      </c>
      <c r="C105" s="221"/>
      <c r="D105" s="265">
        <f t="shared" ref="D105:F110" si="26">D5/$B105</f>
        <v>0</v>
      </c>
      <c r="E105" s="265">
        <f t="shared" si="26"/>
        <v>0</v>
      </c>
      <c r="F105" s="265">
        <f t="shared" si="26"/>
        <v>0</v>
      </c>
      <c r="G105" s="221" t="str">
        <f t="shared" ref="G105:G110" si="27">G5</f>
        <v>Setback Levee</v>
      </c>
      <c r="H105" s="221">
        <f t="shared" ref="H105:H110" si="28">I5-H5+1</f>
        <v>1</v>
      </c>
      <c r="I105" s="152"/>
      <c r="J105" s="367">
        <f t="shared" ref="J105:L110" si="29">J5/$H105</f>
        <v>0</v>
      </c>
      <c r="K105" s="367">
        <f t="shared" si="29"/>
        <v>0</v>
      </c>
      <c r="L105" s="367">
        <f t="shared" si="29"/>
        <v>0</v>
      </c>
      <c r="M105" s="221" t="str">
        <f t="shared" ref="M105:M110" si="30">M5</f>
        <v>Setback Levee</v>
      </c>
      <c r="N105" s="221">
        <f t="shared" ref="N105:N110" si="31">O5-N5+1</f>
        <v>2</v>
      </c>
      <c r="O105" s="266"/>
      <c r="P105" s="367">
        <f t="shared" ref="P105:R110" si="32">P5/$N105</f>
        <v>136000</v>
      </c>
      <c r="Q105" s="367">
        <f t="shared" si="32"/>
        <v>150000</v>
      </c>
      <c r="R105" s="367">
        <f t="shared" si="32"/>
        <v>195000</v>
      </c>
      <c r="S105" s="221" t="str">
        <f t="shared" ref="S105:S110" si="33">S5</f>
        <v>Setback Levee</v>
      </c>
      <c r="T105" s="221">
        <f t="shared" ref="T105:T110" si="34">U5-T5+1</f>
        <v>2</v>
      </c>
      <c r="U105" s="266"/>
      <c r="V105" s="367">
        <f t="shared" ref="V105:X110" si="35">V5/$N105</f>
        <v>340500</v>
      </c>
      <c r="W105" s="367">
        <f t="shared" si="35"/>
        <v>375000</v>
      </c>
      <c r="X105" s="367">
        <f t="shared" si="35"/>
        <v>487500</v>
      </c>
    </row>
    <row r="106" spans="1:24" s="41" customFormat="1" ht="15" x14ac:dyDescent="0.25">
      <c r="A106" s="221" t="str">
        <f t="shared" si="24"/>
        <v>Excavation (e.g. channel network)</v>
      </c>
      <c r="B106" s="221">
        <f t="shared" si="25"/>
        <v>1</v>
      </c>
      <c r="C106" s="221"/>
      <c r="D106" s="265">
        <f t="shared" si="26"/>
        <v>0</v>
      </c>
      <c r="E106" s="265">
        <f t="shared" si="26"/>
        <v>0</v>
      </c>
      <c r="F106" s="265">
        <f t="shared" si="26"/>
        <v>0</v>
      </c>
      <c r="G106" s="221" t="str">
        <f t="shared" si="27"/>
        <v>Excavation (e.g. channel network)</v>
      </c>
      <c r="H106" s="221">
        <f t="shared" si="28"/>
        <v>5</v>
      </c>
      <c r="I106" s="152"/>
      <c r="J106" s="367">
        <f t="shared" si="29"/>
        <v>23400</v>
      </c>
      <c r="K106" s="367">
        <f t="shared" si="29"/>
        <v>28600</v>
      </c>
      <c r="L106" s="367">
        <f t="shared" si="29"/>
        <v>33800</v>
      </c>
      <c r="M106" s="221" t="str">
        <f t="shared" si="30"/>
        <v>Excavation (e.g. channel network)</v>
      </c>
      <c r="N106" s="221">
        <f t="shared" si="31"/>
        <v>5</v>
      </c>
      <c r="O106" s="266"/>
      <c r="P106" s="367">
        <f t="shared" si="32"/>
        <v>9000</v>
      </c>
      <c r="Q106" s="367">
        <f t="shared" si="32"/>
        <v>11000</v>
      </c>
      <c r="R106" s="367">
        <f t="shared" si="32"/>
        <v>13000</v>
      </c>
      <c r="S106" s="221" t="str">
        <f t="shared" si="33"/>
        <v>Excavation (e.g. channel network)</v>
      </c>
      <c r="T106" s="221">
        <f t="shared" si="34"/>
        <v>5</v>
      </c>
      <c r="U106" s="266"/>
      <c r="V106" s="367">
        <f t="shared" si="35"/>
        <v>1530</v>
      </c>
      <c r="W106" s="367">
        <f t="shared" si="35"/>
        <v>1870</v>
      </c>
      <c r="X106" s="367">
        <f t="shared" si="35"/>
        <v>2210</v>
      </c>
    </row>
    <row r="107" spans="1:24" s="41" customFormat="1" ht="15" x14ac:dyDescent="0.25">
      <c r="A107" s="221" t="str">
        <f t="shared" si="24"/>
        <v>Breach/Lower Levee</v>
      </c>
      <c r="B107" s="221">
        <f t="shared" si="25"/>
        <v>1</v>
      </c>
      <c r="C107" s="221"/>
      <c r="D107" s="265">
        <f t="shared" si="26"/>
        <v>0</v>
      </c>
      <c r="E107" s="265">
        <f t="shared" si="26"/>
        <v>0</v>
      </c>
      <c r="F107" s="265">
        <f t="shared" si="26"/>
        <v>0</v>
      </c>
      <c r="G107" s="221" t="str">
        <f t="shared" si="27"/>
        <v>Breach/Lower Levee</v>
      </c>
      <c r="H107" s="221">
        <f t="shared" si="28"/>
        <v>2</v>
      </c>
      <c r="I107" s="152"/>
      <c r="J107" s="367">
        <f t="shared" si="29"/>
        <v>820000</v>
      </c>
      <c r="K107" s="367">
        <f t="shared" si="29"/>
        <v>900000</v>
      </c>
      <c r="L107" s="367">
        <f t="shared" si="29"/>
        <v>1170000</v>
      </c>
      <c r="M107" s="221" t="str">
        <f t="shared" si="30"/>
        <v>Breach/Lower Levee</v>
      </c>
      <c r="N107" s="221">
        <f t="shared" si="31"/>
        <v>2</v>
      </c>
      <c r="O107" s="266"/>
      <c r="P107" s="367">
        <f t="shared" si="32"/>
        <v>615000</v>
      </c>
      <c r="Q107" s="367">
        <f t="shared" si="32"/>
        <v>675000</v>
      </c>
      <c r="R107" s="367">
        <f t="shared" si="32"/>
        <v>877500</v>
      </c>
      <c r="S107" s="221" t="str">
        <f t="shared" si="33"/>
        <v>Breach/Lower Levee</v>
      </c>
      <c r="T107" s="221">
        <f t="shared" si="34"/>
        <v>2</v>
      </c>
      <c r="U107" s="266"/>
      <c r="V107" s="367">
        <f t="shared" si="35"/>
        <v>615000</v>
      </c>
      <c r="W107" s="367">
        <f t="shared" si="35"/>
        <v>675000</v>
      </c>
      <c r="X107" s="367">
        <f t="shared" si="35"/>
        <v>877500</v>
      </c>
    </row>
    <row r="108" spans="1:24" s="41" customFormat="1" ht="15" x14ac:dyDescent="0.25">
      <c r="A108" s="221" t="str">
        <f t="shared" si="24"/>
        <v>Habitat restoration</v>
      </c>
      <c r="B108" s="221">
        <f t="shared" si="25"/>
        <v>1</v>
      </c>
      <c r="C108" s="221"/>
      <c r="D108" s="265">
        <f t="shared" si="26"/>
        <v>0</v>
      </c>
      <c r="E108" s="265">
        <f t="shared" si="26"/>
        <v>0</v>
      </c>
      <c r="F108" s="265">
        <f t="shared" si="26"/>
        <v>0</v>
      </c>
      <c r="G108" s="221" t="str">
        <f t="shared" si="27"/>
        <v>Habitat restoration</v>
      </c>
      <c r="H108" s="221">
        <f t="shared" si="28"/>
        <v>4</v>
      </c>
      <c r="I108" s="152"/>
      <c r="J108" s="367">
        <f t="shared" si="29"/>
        <v>132000</v>
      </c>
      <c r="K108" s="367">
        <f t="shared" si="29"/>
        <v>363000</v>
      </c>
      <c r="L108" s="367">
        <f t="shared" si="29"/>
        <v>1485000</v>
      </c>
      <c r="M108" s="221" t="str">
        <f t="shared" si="30"/>
        <v>Habitat restoration</v>
      </c>
      <c r="N108" s="221">
        <f t="shared" si="31"/>
        <v>4</v>
      </c>
      <c r="O108" s="266"/>
      <c r="P108" s="367">
        <f t="shared" si="32"/>
        <v>35000</v>
      </c>
      <c r="Q108" s="367">
        <f t="shared" si="32"/>
        <v>96250</v>
      </c>
      <c r="R108" s="367">
        <f t="shared" si="32"/>
        <v>393750</v>
      </c>
      <c r="S108" s="221" t="str">
        <f t="shared" si="33"/>
        <v>Habitat restoration</v>
      </c>
      <c r="T108" s="221">
        <f t="shared" si="34"/>
        <v>4</v>
      </c>
      <c r="U108" s="266"/>
      <c r="V108" s="367">
        <f t="shared" si="35"/>
        <v>28000</v>
      </c>
      <c r="W108" s="367">
        <f t="shared" si="35"/>
        <v>77000</v>
      </c>
      <c r="X108" s="367">
        <f t="shared" si="35"/>
        <v>315000</v>
      </c>
    </row>
    <row r="109" spans="1:24" s="41" customFormat="1" ht="15" x14ac:dyDescent="0.25">
      <c r="A109" s="221" t="str">
        <f t="shared" si="24"/>
        <v>Planning, Permitting, Design (% of constr)</v>
      </c>
      <c r="B109" s="221">
        <f t="shared" si="25"/>
        <v>1</v>
      </c>
      <c r="C109" s="221"/>
      <c r="D109" s="265">
        <f t="shared" si="26"/>
        <v>0</v>
      </c>
      <c r="E109" s="265">
        <f t="shared" si="26"/>
        <v>0</v>
      </c>
      <c r="F109" s="265">
        <f t="shared" si="26"/>
        <v>0</v>
      </c>
      <c r="G109" s="221" t="str">
        <f t="shared" si="27"/>
        <v>Planning, Permitting, Design (% of constr)</v>
      </c>
      <c r="H109" s="221">
        <f t="shared" si="28"/>
        <v>2</v>
      </c>
      <c r="I109" s="152"/>
      <c r="J109" s="367">
        <f t="shared" si="29"/>
        <v>57125</v>
      </c>
      <c r="K109" s="367">
        <f t="shared" si="29"/>
        <v>84875</v>
      </c>
      <c r="L109" s="367">
        <f t="shared" si="29"/>
        <v>211225</v>
      </c>
      <c r="M109" s="221" t="str">
        <f t="shared" si="30"/>
        <v>Planning, Permitting, Design (% of constr)</v>
      </c>
      <c r="N109" s="221">
        <f t="shared" si="31"/>
        <v>2</v>
      </c>
      <c r="O109" s="266"/>
      <c r="P109" s="367">
        <f t="shared" si="32"/>
        <v>42175</v>
      </c>
      <c r="Q109" s="367">
        <f t="shared" si="32"/>
        <v>52250</v>
      </c>
      <c r="R109" s="367">
        <f t="shared" si="32"/>
        <v>94625</v>
      </c>
      <c r="S109" s="221" t="str">
        <f t="shared" si="33"/>
        <v>Planning, Permitting, Design (% of constr)</v>
      </c>
      <c r="T109" s="221">
        <f t="shared" si="34"/>
        <v>2</v>
      </c>
      <c r="U109" s="266"/>
      <c r="V109" s="367">
        <f t="shared" si="35"/>
        <v>50766.25</v>
      </c>
      <c r="W109" s="367">
        <f t="shared" si="35"/>
        <v>60433.75</v>
      </c>
      <c r="X109" s="367">
        <f t="shared" si="35"/>
        <v>100026.25</v>
      </c>
    </row>
    <row r="110" spans="1:24" s="41" customFormat="1" ht="15" x14ac:dyDescent="0.25">
      <c r="A110" s="221" t="str">
        <f t="shared" si="24"/>
        <v>Monitoring (% of total Proj costs)</v>
      </c>
      <c r="B110" s="221">
        <f t="shared" si="25"/>
        <v>1</v>
      </c>
      <c r="C110" s="221"/>
      <c r="D110" s="265">
        <f t="shared" si="26"/>
        <v>0</v>
      </c>
      <c r="E110" s="265">
        <f t="shared" si="26"/>
        <v>0</v>
      </c>
      <c r="F110" s="265">
        <f t="shared" si="26"/>
        <v>0</v>
      </c>
      <c r="G110" s="221" t="str">
        <f t="shared" si="27"/>
        <v>Monitoring (% of total Proj costs)</v>
      </c>
      <c r="H110" s="221">
        <f t="shared" si="28"/>
        <v>25</v>
      </c>
      <c r="I110" s="152"/>
      <c r="J110" s="367">
        <f t="shared" si="29"/>
        <v>914</v>
      </c>
      <c r="K110" s="367">
        <f t="shared" si="29"/>
        <v>2716</v>
      </c>
      <c r="L110" s="367">
        <f t="shared" si="29"/>
        <v>10138.799999999999</v>
      </c>
      <c r="M110" s="221" t="str">
        <f t="shared" si="30"/>
        <v>Monitoring (% of total Proj costs)</v>
      </c>
      <c r="N110" s="221">
        <f t="shared" si="31"/>
        <v>25</v>
      </c>
      <c r="O110" s="266"/>
      <c r="P110" s="367">
        <f t="shared" si="32"/>
        <v>674.8</v>
      </c>
      <c r="Q110" s="367">
        <f t="shared" si="32"/>
        <v>1672</v>
      </c>
      <c r="R110" s="367">
        <f t="shared" si="32"/>
        <v>4542</v>
      </c>
      <c r="S110" s="221" t="str">
        <f t="shared" si="33"/>
        <v>Monitoring (% of total Proj costs)</v>
      </c>
      <c r="T110" s="221">
        <f t="shared" si="34"/>
        <v>25</v>
      </c>
      <c r="U110" s="266"/>
      <c r="V110" s="367">
        <f t="shared" si="35"/>
        <v>812.26</v>
      </c>
      <c r="W110" s="367">
        <f t="shared" si="35"/>
        <v>1933.88</v>
      </c>
      <c r="X110" s="367">
        <f t="shared" si="35"/>
        <v>4801.26</v>
      </c>
    </row>
    <row r="111" spans="1:24" s="41" customFormat="1" ht="15" x14ac:dyDescent="0.25">
      <c r="A111" s="1"/>
      <c r="B111" s="1"/>
      <c r="C111" s="1"/>
      <c r="D111" s="1"/>
      <c r="E111" s="1"/>
      <c r="G111" s="101"/>
      <c r="H111" s="101"/>
      <c r="I111" s="101"/>
      <c r="J111" s="101"/>
      <c r="K111" s="101"/>
      <c r="L111" s="101"/>
      <c r="M111" s="101"/>
      <c r="N111" s="101"/>
      <c r="S111" s="101"/>
      <c r="T111" s="101"/>
    </row>
    <row r="112" spans="1:24" s="41" customFormat="1" ht="15" x14ac:dyDescent="0.25">
      <c r="A112" s="1"/>
      <c r="B112" s="1"/>
      <c r="C112" s="1"/>
      <c r="D112" s="1"/>
      <c r="E112" s="1"/>
      <c r="G112" s="101"/>
      <c r="H112" s="101"/>
      <c r="I112" s="101"/>
      <c r="J112" s="101"/>
      <c r="K112" s="101"/>
      <c r="L112" s="101"/>
      <c r="M112" s="101"/>
      <c r="N112" s="101"/>
      <c r="S112" s="101"/>
      <c r="T112" s="101"/>
    </row>
    <row r="113" spans="1:20" s="41" customFormat="1" ht="15" x14ac:dyDescent="0.25">
      <c r="A113" s="1"/>
      <c r="B113" s="1"/>
      <c r="C113" s="1"/>
      <c r="D113" s="1"/>
      <c r="E113" s="1"/>
      <c r="G113" s="101"/>
      <c r="H113" s="101"/>
      <c r="I113" s="101"/>
      <c r="J113" s="101"/>
      <c r="K113" s="101"/>
      <c r="L113" s="101"/>
      <c r="M113" s="101"/>
      <c r="N113" s="101"/>
      <c r="S113" s="101"/>
      <c r="T113" s="101"/>
    </row>
    <row r="114" spans="1:20" s="41" customFormat="1" ht="15" x14ac:dyDescent="0.25">
      <c r="A114" s="1"/>
      <c r="B114" s="1"/>
      <c r="C114" s="1"/>
      <c r="D114" s="1"/>
      <c r="E114" s="1"/>
      <c r="G114" s="101"/>
      <c r="H114" s="101"/>
      <c r="I114" s="101"/>
      <c r="J114" s="101"/>
      <c r="K114" s="101"/>
      <c r="L114" s="101"/>
      <c r="M114" s="101"/>
      <c r="N114" s="101"/>
      <c r="S114" s="101"/>
      <c r="T114" s="101"/>
    </row>
    <row r="115" spans="1:20" s="41" customFormat="1" ht="15" x14ac:dyDescent="0.25">
      <c r="A115" s="1"/>
      <c r="B115" s="1"/>
      <c r="C115" s="1"/>
      <c r="D115" s="1"/>
      <c r="E115" s="1"/>
      <c r="G115" s="101"/>
      <c r="H115" s="101"/>
      <c r="I115" s="101"/>
      <c r="J115" s="101"/>
      <c r="K115" s="101"/>
      <c r="L115" s="101"/>
      <c r="M115" s="101"/>
      <c r="N115" s="101"/>
      <c r="S115" s="101"/>
      <c r="T115" s="101"/>
    </row>
    <row r="116" spans="1:20" s="41" customFormat="1" ht="15" x14ac:dyDescent="0.25">
      <c r="A116" s="1"/>
      <c r="B116" s="1"/>
      <c r="C116" s="1"/>
      <c r="D116" s="1"/>
      <c r="E116" s="1"/>
      <c r="G116" s="101"/>
      <c r="H116" s="101"/>
      <c r="I116" s="101"/>
      <c r="J116" s="101"/>
      <c r="K116" s="101"/>
      <c r="L116" s="101"/>
      <c r="M116" s="101"/>
      <c r="N116" s="101"/>
      <c r="S116" s="101"/>
      <c r="T116" s="101"/>
    </row>
    <row r="117" spans="1:20" s="41" customFormat="1" ht="15" x14ac:dyDescent="0.25">
      <c r="A117" s="1"/>
      <c r="B117" s="1"/>
      <c r="C117" s="1"/>
      <c r="D117" s="1"/>
      <c r="E117" s="1"/>
      <c r="G117" s="101"/>
      <c r="H117" s="101"/>
      <c r="I117" s="101"/>
      <c r="J117" s="101"/>
      <c r="K117" s="101"/>
      <c r="L117" s="101"/>
      <c r="M117" s="101"/>
      <c r="N117" s="101"/>
      <c r="S117" s="101"/>
      <c r="T117" s="101"/>
    </row>
    <row r="118" spans="1:20" s="41" customFormat="1" ht="15" x14ac:dyDescent="0.25">
      <c r="A118" s="1"/>
      <c r="B118" s="1"/>
      <c r="C118" s="1"/>
      <c r="D118" s="1"/>
      <c r="E118" s="1"/>
      <c r="G118" s="101"/>
      <c r="H118" s="101"/>
      <c r="I118" s="101"/>
      <c r="J118" s="101"/>
      <c r="K118" s="101"/>
      <c r="L118" s="101"/>
      <c r="M118" s="101"/>
      <c r="N118" s="101"/>
      <c r="S118" s="101"/>
      <c r="T118" s="101"/>
    </row>
    <row r="119" spans="1:20" s="41" customFormat="1" ht="15" x14ac:dyDescent="0.25">
      <c r="A119" s="1"/>
      <c r="B119" s="1"/>
      <c r="C119" s="1"/>
      <c r="D119" s="1"/>
      <c r="E119" s="1"/>
      <c r="G119" s="101"/>
      <c r="H119" s="101"/>
      <c r="I119" s="101"/>
      <c r="J119" s="101"/>
      <c r="K119" s="101"/>
      <c r="L119" s="101"/>
      <c r="M119" s="101"/>
      <c r="N119" s="101"/>
      <c r="S119" s="101"/>
      <c r="T119" s="101"/>
    </row>
    <row r="120" spans="1:20" s="41" customFormat="1" ht="15" x14ac:dyDescent="0.25">
      <c r="A120" s="1"/>
      <c r="B120" s="1"/>
      <c r="C120" s="1"/>
      <c r="D120" s="1"/>
      <c r="E120" s="1"/>
      <c r="G120" s="101"/>
      <c r="H120" s="101"/>
      <c r="I120" s="101"/>
      <c r="J120" s="101"/>
      <c r="K120" s="101"/>
      <c r="L120" s="101"/>
      <c r="M120" s="101"/>
      <c r="N120" s="101"/>
      <c r="S120" s="101"/>
      <c r="T120" s="101"/>
    </row>
    <row r="121" spans="1:20" s="41" customFormat="1" ht="15" x14ac:dyDescent="0.25">
      <c r="A121" s="1"/>
      <c r="B121" s="1"/>
      <c r="C121" s="1"/>
      <c r="D121" s="1"/>
      <c r="E121" s="1"/>
      <c r="G121" s="101"/>
      <c r="H121" s="101"/>
      <c r="I121" s="101"/>
      <c r="J121" s="101"/>
      <c r="K121" s="101"/>
      <c r="L121" s="101"/>
      <c r="M121" s="101"/>
      <c r="N121" s="101"/>
      <c r="S121" s="101"/>
      <c r="T121" s="101"/>
    </row>
    <row r="122" spans="1:20" s="41" customFormat="1" ht="15" x14ac:dyDescent="0.25">
      <c r="A122" s="1"/>
      <c r="B122" s="1"/>
      <c r="C122" s="1"/>
      <c r="D122" s="1"/>
      <c r="E122" s="1"/>
      <c r="G122" s="101"/>
      <c r="H122" s="101"/>
      <c r="I122" s="101"/>
      <c r="J122" s="101"/>
      <c r="K122" s="101"/>
      <c r="L122" s="101"/>
      <c r="M122" s="101"/>
      <c r="N122" s="101"/>
      <c r="S122" s="101"/>
      <c r="T122" s="101"/>
    </row>
    <row r="123" spans="1:20" s="41" customFormat="1" ht="15" x14ac:dyDescent="0.25">
      <c r="A123" s="1"/>
      <c r="B123" s="1"/>
      <c r="C123" s="1"/>
      <c r="D123" s="1"/>
      <c r="E123" s="1"/>
      <c r="G123" s="101"/>
      <c r="H123" s="101"/>
      <c r="I123" s="101"/>
      <c r="J123" s="101"/>
      <c r="K123" s="101"/>
      <c r="L123" s="101"/>
      <c r="M123" s="101"/>
      <c r="N123" s="101"/>
      <c r="S123" s="101"/>
      <c r="T123" s="101"/>
    </row>
    <row r="124" spans="1:20" s="41" customFormat="1" ht="15" x14ac:dyDescent="0.25">
      <c r="A124" s="1"/>
      <c r="B124" s="1"/>
      <c r="C124" s="1"/>
      <c r="D124" s="1"/>
      <c r="E124" s="1"/>
      <c r="G124" s="101"/>
      <c r="H124" s="101"/>
      <c r="I124" s="101"/>
      <c r="J124" s="101"/>
      <c r="K124" s="101"/>
      <c r="L124" s="101"/>
      <c r="M124" s="101"/>
      <c r="N124" s="101"/>
      <c r="S124" s="101"/>
      <c r="T124" s="101"/>
    </row>
    <row r="125" spans="1:20" s="41" customFormat="1" ht="15" x14ac:dyDescent="0.25">
      <c r="A125" s="1"/>
      <c r="B125" s="1"/>
      <c r="C125" s="1"/>
      <c r="D125" s="1"/>
      <c r="E125" s="1"/>
      <c r="G125" s="101"/>
      <c r="H125" s="101"/>
      <c r="I125" s="101"/>
      <c r="J125" s="101"/>
      <c r="K125" s="101"/>
      <c r="L125" s="101"/>
      <c r="M125" s="101"/>
      <c r="N125" s="101"/>
      <c r="S125" s="101"/>
      <c r="T125" s="101"/>
    </row>
    <row r="126" spans="1:20" s="41" customFormat="1" ht="15" x14ac:dyDescent="0.25">
      <c r="A126" s="1"/>
      <c r="B126" s="1"/>
      <c r="C126" s="1"/>
      <c r="D126" s="1"/>
      <c r="E126" s="1"/>
      <c r="G126" s="101"/>
      <c r="H126" s="101"/>
      <c r="I126" s="101"/>
      <c r="J126" s="101"/>
      <c r="K126" s="101"/>
      <c r="L126" s="101"/>
      <c r="M126" s="101"/>
      <c r="N126" s="101"/>
      <c r="S126" s="101"/>
      <c r="T126" s="101"/>
    </row>
    <row r="127" spans="1:20" s="41" customFormat="1" ht="15" x14ac:dyDescent="0.25">
      <c r="A127" s="1"/>
      <c r="B127" s="1"/>
      <c r="C127" s="1"/>
      <c r="D127" s="1"/>
      <c r="E127" s="1"/>
      <c r="G127" s="101"/>
      <c r="H127" s="101"/>
      <c r="I127" s="101"/>
      <c r="J127" s="101"/>
      <c r="K127" s="101"/>
      <c r="L127" s="101"/>
      <c r="M127" s="101"/>
      <c r="N127" s="101"/>
      <c r="S127" s="101"/>
      <c r="T127" s="101"/>
    </row>
    <row r="128" spans="1:20" s="41" customFormat="1" ht="15" x14ac:dyDescent="0.25">
      <c r="A128" s="1"/>
      <c r="B128" s="1"/>
      <c r="C128" s="1"/>
      <c r="D128" s="1"/>
      <c r="E128" s="1"/>
      <c r="G128" s="101"/>
      <c r="H128" s="101"/>
      <c r="I128" s="101"/>
      <c r="J128" s="101"/>
      <c r="K128" s="101"/>
      <c r="L128" s="101"/>
      <c r="M128" s="101"/>
      <c r="N128" s="101"/>
      <c r="S128" s="101"/>
      <c r="T128" s="101"/>
    </row>
    <row r="129" spans="1:20" s="41" customFormat="1" ht="15" x14ac:dyDescent="0.25">
      <c r="A129" s="1"/>
      <c r="B129" s="1"/>
      <c r="C129" s="1"/>
      <c r="D129" s="1"/>
      <c r="E129" s="1"/>
      <c r="G129" s="101"/>
      <c r="H129" s="101"/>
      <c r="I129" s="101"/>
      <c r="J129" s="101"/>
      <c r="K129" s="101"/>
      <c r="L129" s="101"/>
      <c r="M129" s="101"/>
      <c r="N129" s="101"/>
      <c r="S129" s="101"/>
      <c r="T129" s="101"/>
    </row>
    <row r="130" spans="1:20" s="41" customFormat="1" ht="15" x14ac:dyDescent="0.25">
      <c r="A130" s="1"/>
      <c r="B130" s="1"/>
      <c r="C130" s="1"/>
      <c r="D130" s="1"/>
      <c r="E130" s="1"/>
      <c r="G130" s="101"/>
      <c r="H130" s="101"/>
      <c r="I130" s="101"/>
      <c r="J130" s="101"/>
      <c r="K130" s="101"/>
      <c r="L130" s="101"/>
      <c r="M130" s="101"/>
      <c r="N130" s="101"/>
      <c r="S130" s="101"/>
      <c r="T130" s="101"/>
    </row>
    <row r="131" spans="1:20" s="41" customFormat="1" ht="15" x14ac:dyDescent="0.25">
      <c r="A131" s="1"/>
      <c r="B131" s="1"/>
      <c r="C131" s="1"/>
      <c r="D131" s="1"/>
      <c r="E131" s="1"/>
      <c r="G131" s="101"/>
      <c r="H131" s="101"/>
      <c r="I131" s="101"/>
      <c r="J131" s="101"/>
      <c r="K131" s="101"/>
      <c r="L131" s="101"/>
      <c r="M131" s="101"/>
      <c r="N131" s="101"/>
      <c r="S131" s="101"/>
      <c r="T131" s="101"/>
    </row>
    <row r="132" spans="1:20" s="41" customFormat="1" ht="15" x14ac:dyDescent="0.25">
      <c r="A132" s="1"/>
      <c r="B132" s="1"/>
      <c r="C132" s="1"/>
      <c r="D132" s="1"/>
      <c r="E132" s="1"/>
      <c r="G132" s="101"/>
      <c r="H132" s="101"/>
      <c r="I132" s="101"/>
      <c r="J132" s="101"/>
      <c r="K132" s="101"/>
      <c r="L132" s="101"/>
      <c r="M132" s="101"/>
      <c r="N132" s="101"/>
      <c r="S132" s="101"/>
      <c r="T132" s="101"/>
    </row>
    <row r="133" spans="1:20" s="41" customFormat="1" ht="15" x14ac:dyDescent="0.25">
      <c r="A133" s="1"/>
      <c r="B133" s="1"/>
      <c r="C133" s="1"/>
      <c r="D133" s="1"/>
      <c r="E133" s="1"/>
      <c r="G133" s="101"/>
      <c r="H133" s="101"/>
      <c r="I133" s="101"/>
      <c r="J133" s="101"/>
      <c r="K133" s="101"/>
      <c r="L133" s="101"/>
      <c r="M133" s="101"/>
      <c r="N133" s="101"/>
      <c r="S133" s="101"/>
      <c r="T133" s="101"/>
    </row>
    <row r="134" spans="1:20" s="41" customFormat="1" ht="15" x14ac:dyDescent="0.25">
      <c r="A134" s="1"/>
      <c r="B134" s="1"/>
      <c r="C134" s="1"/>
      <c r="D134" s="1"/>
      <c r="E134" s="1"/>
      <c r="G134" s="101"/>
      <c r="H134" s="101"/>
      <c r="I134" s="101"/>
      <c r="J134" s="101"/>
      <c r="K134" s="101"/>
      <c r="L134" s="101"/>
      <c r="M134" s="101"/>
      <c r="N134" s="101"/>
      <c r="S134" s="101"/>
      <c r="T134" s="101"/>
    </row>
    <row r="135" spans="1:20" s="41" customFormat="1" ht="15" x14ac:dyDescent="0.25">
      <c r="A135" s="1"/>
      <c r="B135" s="1"/>
      <c r="C135" s="1"/>
      <c r="D135" s="1"/>
      <c r="E135" s="1"/>
      <c r="G135" s="101"/>
      <c r="H135" s="101"/>
      <c r="I135" s="101"/>
      <c r="J135" s="101"/>
      <c r="K135" s="101"/>
      <c r="L135" s="101"/>
      <c r="M135" s="101"/>
      <c r="N135" s="101"/>
      <c r="S135" s="101"/>
      <c r="T135" s="101"/>
    </row>
    <row r="136" spans="1:20" s="41" customFormat="1" ht="15" x14ac:dyDescent="0.25">
      <c r="A136" s="1"/>
      <c r="B136" s="1"/>
      <c r="C136" s="1"/>
      <c r="D136" s="1"/>
      <c r="E136" s="1"/>
      <c r="G136" s="101"/>
      <c r="H136" s="101"/>
      <c r="I136" s="101"/>
      <c r="J136" s="101"/>
      <c r="K136" s="101"/>
      <c r="L136" s="101"/>
      <c r="M136" s="101"/>
      <c r="N136" s="101"/>
      <c r="S136" s="101"/>
      <c r="T136" s="101"/>
    </row>
    <row r="137" spans="1:20" s="41" customFormat="1" ht="15" x14ac:dyDescent="0.25">
      <c r="A137" s="1"/>
      <c r="B137" s="1"/>
      <c r="C137" s="1"/>
      <c r="D137" s="1"/>
      <c r="E137" s="1"/>
      <c r="G137" s="101"/>
      <c r="H137" s="101"/>
      <c r="I137" s="101"/>
      <c r="J137" s="101"/>
      <c r="K137" s="101"/>
      <c r="L137" s="101"/>
      <c r="M137" s="101"/>
      <c r="N137" s="101"/>
      <c r="S137" s="101"/>
      <c r="T137" s="101"/>
    </row>
    <row r="138" spans="1:20" s="41" customFormat="1" ht="15" x14ac:dyDescent="0.25">
      <c r="A138" s="1"/>
      <c r="B138" s="1"/>
      <c r="C138" s="1"/>
      <c r="D138" s="1"/>
      <c r="E138" s="1"/>
      <c r="G138" s="101"/>
      <c r="H138" s="101"/>
      <c r="I138" s="101"/>
      <c r="J138" s="101"/>
      <c r="K138" s="101"/>
      <c r="L138" s="101"/>
      <c r="M138" s="101"/>
      <c r="N138" s="101"/>
      <c r="S138" s="101"/>
      <c r="T138" s="101"/>
    </row>
    <row r="139" spans="1:20" s="41" customFormat="1" ht="15" x14ac:dyDescent="0.25">
      <c r="A139" s="1"/>
      <c r="B139" s="1"/>
      <c r="C139" s="1"/>
      <c r="D139" s="1"/>
      <c r="E139" s="1"/>
      <c r="G139" s="101"/>
      <c r="H139" s="101"/>
      <c r="I139" s="101"/>
      <c r="J139" s="101"/>
      <c r="K139" s="101"/>
      <c r="L139" s="101"/>
      <c r="M139" s="101"/>
      <c r="N139" s="101"/>
      <c r="S139" s="101"/>
      <c r="T139" s="101"/>
    </row>
    <row r="140" spans="1:20" s="41" customFormat="1" ht="15" x14ac:dyDescent="0.25">
      <c r="A140" s="1"/>
      <c r="B140" s="1"/>
      <c r="C140" s="1"/>
      <c r="D140" s="1"/>
      <c r="E140" s="1"/>
      <c r="G140" s="101"/>
      <c r="H140" s="101"/>
      <c r="I140" s="101"/>
      <c r="J140" s="101"/>
      <c r="K140" s="101"/>
      <c r="L140" s="101"/>
      <c r="M140" s="101"/>
      <c r="N140" s="101"/>
      <c r="S140" s="101"/>
      <c r="T140" s="101"/>
    </row>
    <row r="141" spans="1:20" s="41" customFormat="1" ht="15" x14ac:dyDescent="0.25">
      <c r="A141" s="1"/>
      <c r="B141" s="1"/>
      <c r="C141" s="1"/>
      <c r="D141" s="1"/>
      <c r="E141" s="1"/>
      <c r="G141" s="101"/>
      <c r="H141" s="101"/>
      <c r="I141" s="101"/>
      <c r="J141" s="101"/>
      <c r="K141" s="101"/>
      <c r="L141" s="101"/>
      <c r="M141" s="101"/>
      <c r="N141" s="101"/>
      <c r="S141" s="101"/>
      <c r="T141" s="101"/>
    </row>
    <row r="142" spans="1:20" s="41" customFormat="1" ht="15" x14ac:dyDescent="0.25">
      <c r="A142" s="1"/>
      <c r="B142" s="1"/>
      <c r="C142" s="1"/>
      <c r="D142" s="1"/>
      <c r="E142" s="1"/>
      <c r="G142" s="101"/>
      <c r="H142" s="101"/>
      <c r="I142" s="101"/>
      <c r="J142" s="101"/>
      <c r="K142" s="101"/>
      <c r="L142" s="101"/>
      <c r="M142" s="101"/>
      <c r="N142" s="101"/>
      <c r="S142" s="101"/>
      <c r="T142" s="101"/>
    </row>
    <row r="143" spans="1:20" s="41" customFormat="1" ht="15" x14ac:dyDescent="0.25">
      <c r="A143" s="1"/>
      <c r="B143" s="1"/>
      <c r="C143" s="1"/>
      <c r="D143" s="1"/>
      <c r="E143" s="1"/>
      <c r="G143" s="101"/>
      <c r="H143" s="101"/>
      <c r="I143" s="101"/>
      <c r="J143" s="101"/>
      <c r="K143" s="101"/>
      <c r="L143" s="101"/>
      <c r="M143" s="101"/>
      <c r="N143" s="101"/>
      <c r="S143" s="101"/>
      <c r="T143" s="101"/>
    </row>
    <row r="144" spans="1:20" s="41" customFormat="1" ht="15" x14ac:dyDescent="0.25">
      <c r="A144" s="1"/>
      <c r="B144" s="1"/>
      <c r="C144" s="1"/>
      <c r="D144" s="1"/>
      <c r="E144" s="1"/>
      <c r="G144" s="101"/>
      <c r="H144" s="101"/>
      <c r="I144" s="101"/>
      <c r="J144" s="101"/>
      <c r="K144" s="101"/>
      <c r="L144" s="101"/>
      <c r="M144" s="101"/>
      <c r="N144" s="101"/>
      <c r="S144" s="101"/>
      <c r="T144" s="101"/>
    </row>
    <row r="145" spans="1:20" s="41" customFormat="1" ht="15" x14ac:dyDescent="0.25">
      <c r="A145" s="1"/>
      <c r="B145" s="1"/>
      <c r="C145" s="1"/>
      <c r="D145" s="1"/>
      <c r="E145" s="1"/>
      <c r="G145" s="101"/>
      <c r="H145" s="101"/>
      <c r="I145" s="101"/>
      <c r="J145" s="101"/>
      <c r="K145" s="101"/>
      <c r="L145" s="101"/>
      <c r="M145" s="101"/>
      <c r="N145" s="101"/>
      <c r="S145" s="101"/>
      <c r="T145" s="101"/>
    </row>
    <row r="146" spans="1:20" s="41" customFormat="1" ht="15" x14ac:dyDescent="0.25">
      <c r="A146" s="1"/>
      <c r="B146" s="1"/>
      <c r="C146" s="1"/>
      <c r="D146" s="1"/>
      <c r="E146" s="1"/>
      <c r="G146" s="101"/>
      <c r="H146" s="101"/>
      <c r="I146" s="101"/>
      <c r="J146" s="101"/>
      <c r="K146" s="101"/>
      <c r="L146" s="101"/>
      <c r="M146" s="101"/>
      <c r="N146" s="101"/>
      <c r="S146" s="101"/>
      <c r="T146" s="101"/>
    </row>
    <row r="147" spans="1:20" s="41" customFormat="1" ht="15" x14ac:dyDescent="0.25">
      <c r="A147" s="1"/>
      <c r="B147" s="1"/>
      <c r="C147" s="1"/>
      <c r="D147" s="1"/>
      <c r="E147" s="1"/>
      <c r="G147" s="101"/>
      <c r="H147" s="101"/>
      <c r="I147" s="101"/>
      <c r="J147" s="101"/>
      <c r="K147" s="101"/>
      <c r="L147" s="101"/>
      <c r="M147" s="101"/>
      <c r="N147" s="101"/>
      <c r="S147" s="101"/>
      <c r="T147" s="101"/>
    </row>
    <row r="148" spans="1:20" s="41" customFormat="1" ht="15" x14ac:dyDescent="0.25">
      <c r="A148" s="1"/>
      <c r="B148" s="1"/>
      <c r="C148" s="1"/>
      <c r="D148" s="1"/>
      <c r="E148" s="1"/>
      <c r="G148" s="101"/>
      <c r="H148" s="101"/>
      <c r="I148" s="101"/>
      <c r="J148" s="101"/>
      <c r="K148" s="101"/>
      <c r="L148" s="101"/>
      <c r="M148" s="101"/>
      <c r="N148" s="101"/>
      <c r="S148" s="101"/>
      <c r="T148" s="101"/>
    </row>
    <row r="149" spans="1:20" s="41" customFormat="1" ht="15" x14ac:dyDescent="0.25">
      <c r="A149" s="1"/>
      <c r="B149" s="1"/>
      <c r="C149" s="1"/>
      <c r="D149" s="1"/>
      <c r="E149" s="1"/>
      <c r="G149" s="101"/>
      <c r="H149" s="101"/>
      <c r="I149" s="101"/>
      <c r="J149" s="101"/>
      <c r="K149" s="101"/>
      <c r="L149" s="101"/>
      <c r="M149" s="101"/>
      <c r="N149" s="101"/>
      <c r="S149" s="101"/>
      <c r="T149" s="101"/>
    </row>
    <row r="150" spans="1:20" s="41" customFormat="1" ht="15" x14ac:dyDescent="0.25">
      <c r="A150" s="1"/>
      <c r="B150" s="1"/>
      <c r="C150" s="1"/>
      <c r="D150" s="1"/>
      <c r="E150" s="1"/>
      <c r="G150" s="101"/>
      <c r="H150" s="101"/>
      <c r="I150" s="101"/>
      <c r="J150" s="101"/>
      <c r="K150" s="101"/>
      <c r="L150" s="101"/>
      <c r="M150" s="101"/>
      <c r="N150" s="101"/>
      <c r="S150" s="101"/>
      <c r="T150" s="101"/>
    </row>
    <row r="151" spans="1:20" s="41" customFormat="1" ht="15" x14ac:dyDescent="0.25">
      <c r="A151" s="1"/>
      <c r="B151" s="1"/>
      <c r="C151" s="1"/>
      <c r="D151" s="1"/>
      <c r="E151" s="1"/>
      <c r="G151" s="101"/>
      <c r="H151" s="101"/>
      <c r="I151" s="101"/>
      <c r="J151" s="101"/>
      <c r="K151" s="101"/>
      <c r="L151" s="101"/>
      <c r="M151" s="101"/>
      <c r="N151" s="101"/>
      <c r="S151" s="101"/>
      <c r="T151" s="101"/>
    </row>
    <row r="152" spans="1:20" s="41" customFormat="1" ht="15" x14ac:dyDescent="0.25">
      <c r="A152" s="1"/>
      <c r="B152" s="1"/>
      <c r="C152" s="1"/>
      <c r="D152" s="1"/>
      <c r="E152" s="1"/>
      <c r="G152" s="101"/>
      <c r="H152" s="101"/>
      <c r="I152" s="101"/>
      <c r="J152" s="101"/>
      <c r="K152" s="101"/>
      <c r="L152" s="101"/>
      <c r="M152" s="101"/>
      <c r="N152" s="101"/>
      <c r="S152" s="101"/>
      <c r="T152" s="101"/>
    </row>
    <row r="153" spans="1:20" s="41" customFormat="1" ht="15" x14ac:dyDescent="0.25">
      <c r="A153" s="1"/>
      <c r="B153" s="1"/>
      <c r="C153" s="1"/>
      <c r="D153" s="1"/>
      <c r="E153" s="1"/>
      <c r="G153" s="101"/>
      <c r="H153" s="101"/>
      <c r="I153" s="101"/>
      <c r="J153" s="101"/>
      <c r="K153" s="101"/>
      <c r="L153" s="101"/>
      <c r="M153" s="101"/>
      <c r="N153" s="101"/>
      <c r="S153" s="101"/>
      <c r="T153" s="101"/>
    </row>
    <row r="154" spans="1:20" s="41" customFormat="1" ht="15" x14ac:dyDescent="0.25">
      <c r="A154" s="1"/>
      <c r="B154" s="1"/>
      <c r="C154" s="1"/>
      <c r="D154" s="1"/>
      <c r="E154" s="1"/>
      <c r="G154" s="101"/>
      <c r="H154" s="101"/>
      <c r="I154" s="101"/>
      <c r="J154" s="101"/>
      <c r="K154" s="101"/>
      <c r="L154" s="101"/>
      <c r="M154" s="101"/>
      <c r="N154" s="101"/>
      <c r="S154" s="101"/>
      <c r="T154" s="101"/>
    </row>
    <row r="155" spans="1:20" s="41" customFormat="1" ht="15" x14ac:dyDescent="0.25">
      <c r="A155" s="1"/>
      <c r="B155" s="1"/>
      <c r="C155" s="1"/>
      <c r="D155" s="1"/>
      <c r="E155" s="1"/>
      <c r="G155" s="101"/>
      <c r="H155" s="101"/>
      <c r="I155" s="101"/>
      <c r="J155" s="101"/>
      <c r="K155" s="101"/>
      <c r="L155" s="101"/>
      <c r="M155" s="101"/>
      <c r="N155" s="101"/>
      <c r="S155" s="101"/>
      <c r="T155" s="101"/>
    </row>
    <row r="156" spans="1:20" s="41" customFormat="1" ht="15" x14ac:dyDescent="0.25">
      <c r="A156" s="1"/>
      <c r="B156" s="1"/>
      <c r="C156" s="1"/>
      <c r="D156" s="1"/>
      <c r="E156" s="1"/>
      <c r="G156" s="101"/>
      <c r="H156" s="101"/>
      <c r="I156" s="101"/>
      <c r="J156" s="101"/>
      <c r="K156" s="101"/>
      <c r="L156" s="101"/>
      <c r="M156" s="101"/>
      <c r="N156" s="101"/>
      <c r="S156" s="101"/>
      <c r="T156" s="101"/>
    </row>
    <row r="157" spans="1:20" s="41" customFormat="1" ht="15" x14ac:dyDescent="0.25">
      <c r="A157" s="1"/>
      <c r="B157" s="1"/>
      <c r="C157" s="1"/>
      <c r="D157" s="1"/>
      <c r="E157" s="1"/>
      <c r="G157" s="101"/>
      <c r="H157" s="101"/>
      <c r="I157" s="101"/>
      <c r="J157" s="101"/>
      <c r="K157" s="101"/>
      <c r="L157" s="101"/>
      <c r="M157" s="101"/>
      <c r="N157" s="101"/>
      <c r="S157" s="101"/>
      <c r="T157" s="101"/>
    </row>
    <row r="158" spans="1:20" s="41" customFormat="1" ht="15" x14ac:dyDescent="0.25">
      <c r="A158" s="1"/>
      <c r="B158" s="1"/>
      <c r="C158" s="1"/>
      <c r="D158" s="1"/>
      <c r="E158" s="1"/>
      <c r="G158" s="101"/>
      <c r="H158" s="101"/>
      <c r="I158" s="101"/>
      <c r="J158" s="101"/>
      <c r="K158" s="101"/>
      <c r="L158" s="101"/>
      <c r="M158" s="101"/>
      <c r="N158" s="101"/>
      <c r="S158" s="101"/>
      <c r="T158" s="101"/>
    </row>
    <row r="159" spans="1:20" s="41" customFormat="1" ht="15" x14ac:dyDescent="0.25">
      <c r="A159" s="1"/>
      <c r="B159" s="1"/>
      <c r="C159" s="1"/>
      <c r="D159" s="1"/>
      <c r="E159" s="1"/>
      <c r="G159" s="101"/>
      <c r="H159" s="101"/>
      <c r="I159" s="101"/>
      <c r="J159" s="101"/>
      <c r="K159" s="101"/>
      <c r="L159" s="101"/>
      <c r="M159" s="101"/>
      <c r="N159" s="101"/>
      <c r="S159" s="101"/>
      <c r="T159" s="101"/>
    </row>
    <row r="160" spans="1:20" s="41" customFormat="1" ht="15" x14ac:dyDescent="0.25">
      <c r="A160" s="1"/>
      <c r="B160" s="1"/>
      <c r="C160" s="1"/>
      <c r="D160" s="1"/>
      <c r="E160" s="1"/>
      <c r="G160" s="101"/>
      <c r="H160" s="101"/>
      <c r="I160" s="101"/>
      <c r="J160" s="101"/>
      <c r="K160" s="101"/>
      <c r="L160" s="101"/>
      <c r="M160" s="101"/>
      <c r="N160" s="101"/>
      <c r="S160" s="101"/>
      <c r="T160" s="101"/>
    </row>
    <row r="161" spans="1:20" s="41" customFormat="1" ht="15" x14ac:dyDescent="0.25">
      <c r="A161" s="1"/>
      <c r="B161" s="1"/>
      <c r="C161" s="1"/>
      <c r="D161" s="1"/>
      <c r="E161" s="1"/>
      <c r="G161" s="101"/>
      <c r="H161" s="101"/>
      <c r="I161" s="101"/>
      <c r="J161" s="101"/>
      <c r="K161" s="101"/>
      <c r="L161" s="101"/>
      <c r="M161" s="101"/>
      <c r="N161" s="101"/>
      <c r="S161" s="101"/>
      <c r="T161" s="101"/>
    </row>
    <row r="162" spans="1:20" s="41" customFormat="1" ht="15" x14ac:dyDescent="0.25">
      <c r="A162" s="1"/>
      <c r="B162" s="1"/>
      <c r="C162" s="1"/>
      <c r="D162" s="1"/>
      <c r="E162" s="1"/>
      <c r="G162" s="101"/>
      <c r="H162" s="101"/>
      <c r="I162" s="101"/>
      <c r="J162" s="101"/>
      <c r="K162" s="101"/>
      <c r="L162" s="101"/>
      <c r="M162" s="101"/>
      <c r="N162" s="101"/>
      <c r="S162" s="101"/>
      <c r="T162" s="101"/>
    </row>
    <row r="163" spans="1:20" s="41" customFormat="1" ht="15" x14ac:dyDescent="0.25">
      <c r="A163" s="1"/>
      <c r="B163" s="1"/>
      <c r="C163" s="1"/>
      <c r="D163" s="1"/>
      <c r="E163" s="1"/>
      <c r="G163" s="101"/>
      <c r="H163" s="101"/>
      <c r="I163" s="101"/>
      <c r="J163" s="101"/>
      <c r="K163" s="101"/>
      <c r="L163" s="101"/>
      <c r="M163" s="101"/>
      <c r="N163" s="101"/>
      <c r="S163" s="101"/>
      <c r="T163" s="101"/>
    </row>
    <row r="164" spans="1:20" s="41" customFormat="1" ht="15" x14ac:dyDescent="0.25">
      <c r="G164" s="101"/>
      <c r="H164" s="101"/>
      <c r="I164" s="101"/>
      <c r="J164" s="101"/>
      <c r="K164" s="101"/>
      <c r="L164" s="101"/>
      <c r="M164" s="101"/>
      <c r="N164" s="101"/>
      <c r="S164" s="101"/>
      <c r="T164" s="101"/>
    </row>
    <row r="165" spans="1:20" s="41" customFormat="1" ht="15" x14ac:dyDescent="0.25">
      <c r="G165" s="101"/>
      <c r="H165" s="101"/>
      <c r="I165" s="101"/>
      <c r="J165" s="101"/>
      <c r="K165" s="101"/>
      <c r="L165" s="101"/>
      <c r="M165" s="101"/>
      <c r="N165" s="101"/>
      <c r="S165" s="101"/>
      <c r="T165" s="101"/>
    </row>
    <row r="166" spans="1:20" s="41" customFormat="1" ht="15" x14ac:dyDescent="0.25">
      <c r="G166" s="101"/>
      <c r="H166" s="101"/>
      <c r="I166" s="101"/>
      <c r="J166" s="101"/>
      <c r="K166" s="101"/>
      <c r="L166" s="101"/>
      <c r="M166" s="101"/>
      <c r="N166" s="101"/>
      <c r="S166" s="101"/>
      <c r="T166" s="101"/>
    </row>
    <row r="167" spans="1:20" s="41" customFormat="1" ht="15" x14ac:dyDescent="0.25">
      <c r="G167" s="101"/>
      <c r="H167" s="101"/>
      <c r="I167" s="101"/>
      <c r="J167" s="101"/>
      <c r="K167" s="101"/>
      <c r="L167" s="101"/>
      <c r="M167" s="101"/>
      <c r="N167" s="101"/>
      <c r="S167" s="101"/>
      <c r="T167" s="101"/>
    </row>
    <row r="168" spans="1:20" s="41" customFormat="1" ht="15" x14ac:dyDescent="0.25">
      <c r="G168" s="101"/>
      <c r="H168" s="101"/>
      <c r="I168" s="101"/>
      <c r="J168" s="101"/>
      <c r="K168" s="101"/>
      <c r="L168" s="101"/>
      <c r="M168" s="101"/>
      <c r="N168" s="101"/>
      <c r="S168" s="101"/>
      <c r="T168" s="101"/>
    </row>
    <row r="169" spans="1:20" s="41" customFormat="1" ht="15" x14ac:dyDescent="0.25">
      <c r="G169" s="101"/>
      <c r="H169" s="101"/>
      <c r="I169" s="101"/>
      <c r="J169" s="101"/>
      <c r="K169" s="101"/>
      <c r="L169" s="101"/>
      <c r="M169" s="101"/>
      <c r="N169" s="101"/>
      <c r="S169" s="101"/>
      <c r="T169" s="101"/>
    </row>
    <row r="170" spans="1:20" s="41" customFormat="1" ht="15" x14ac:dyDescent="0.25">
      <c r="G170" s="101"/>
      <c r="H170" s="101"/>
      <c r="I170" s="101"/>
      <c r="J170" s="101"/>
      <c r="K170" s="101"/>
      <c r="L170" s="101"/>
      <c r="M170" s="101"/>
      <c r="N170" s="101"/>
      <c r="S170" s="101"/>
      <c r="T170" s="101"/>
    </row>
    <row r="171" spans="1:20" s="41" customFormat="1" ht="15" x14ac:dyDescent="0.25">
      <c r="G171" s="101"/>
      <c r="H171" s="101"/>
      <c r="I171" s="101"/>
      <c r="J171" s="101"/>
      <c r="K171" s="101"/>
      <c r="L171" s="101"/>
      <c r="M171" s="101"/>
      <c r="N171" s="101"/>
      <c r="S171" s="101"/>
      <c r="T171" s="101"/>
    </row>
    <row r="172" spans="1:20" s="41" customFormat="1" ht="15" x14ac:dyDescent="0.25">
      <c r="G172" s="101"/>
      <c r="H172" s="101"/>
      <c r="I172" s="101"/>
      <c r="J172" s="101"/>
      <c r="K172" s="101"/>
      <c r="L172" s="101"/>
      <c r="M172" s="101"/>
      <c r="N172" s="101"/>
      <c r="S172" s="101"/>
      <c r="T172" s="101"/>
    </row>
    <row r="173" spans="1:20" s="41" customFormat="1" ht="15" x14ac:dyDescent="0.25">
      <c r="G173" s="101"/>
      <c r="H173" s="101"/>
      <c r="I173" s="101"/>
      <c r="J173" s="101"/>
      <c r="K173" s="101"/>
      <c r="L173" s="101"/>
      <c r="M173" s="101"/>
      <c r="N173" s="101"/>
      <c r="S173" s="101"/>
      <c r="T173" s="101"/>
    </row>
    <row r="174" spans="1:20" s="41" customFormat="1" ht="15" x14ac:dyDescent="0.25">
      <c r="G174" s="101"/>
      <c r="H174" s="101"/>
      <c r="I174" s="101"/>
      <c r="J174" s="101"/>
      <c r="K174" s="101"/>
      <c r="L174" s="101"/>
      <c r="M174" s="101"/>
      <c r="N174" s="101"/>
      <c r="S174" s="101"/>
      <c r="T174" s="101"/>
    </row>
    <row r="175" spans="1:20" s="41" customFormat="1" ht="15" x14ac:dyDescent="0.25">
      <c r="G175" s="101"/>
      <c r="H175" s="101"/>
      <c r="I175" s="101"/>
      <c r="J175" s="101"/>
      <c r="K175" s="101"/>
      <c r="L175" s="101"/>
      <c r="M175" s="101"/>
      <c r="N175" s="101"/>
      <c r="S175" s="101"/>
      <c r="T175" s="101"/>
    </row>
    <row r="176" spans="1:20" s="41" customFormat="1" ht="15" x14ac:dyDescent="0.25">
      <c r="G176" s="101"/>
      <c r="H176" s="101"/>
      <c r="I176" s="101"/>
      <c r="J176" s="101"/>
      <c r="K176" s="101"/>
      <c r="L176" s="101"/>
      <c r="M176" s="101"/>
      <c r="N176" s="101"/>
      <c r="S176" s="101"/>
      <c r="T176" s="101"/>
    </row>
    <row r="177" spans="7:20" s="41" customFormat="1" ht="15" x14ac:dyDescent="0.25">
      <c r="G177" s="101"/>
      <c r="H177" s="101"/>
      <c r="I177" s="101"/>
      <c r="J177" s="101"/>
      <c r="K177" s="101"/>
      <c r="L177" s="101"/>
      <c r="M177" s="101"/>
      <c r="N177" s="101"/>
      <c r="S177" s="101"/>
      <c r="T177" s="101"/>
    </row>
    <row r="178" spans="7:20" s="41" customFormat="1" ht="15" x14ac:dyDescent="0.25">
      <c r="G178" s="101"/>
      <c r="H178" s="101"/>
      <c r="I178" s="101"/>
      <c r="J178" s="101"/>
      <c r="K178" s="101"/>
      <c r="L178" s="101"/>
      <c r="M178" s="101"/>
      <c r="N178" s="101"/>
      <c r="S178" s="101"/>
      <c r="T178" s="101"/>
    </row>
    <row r="179" spans="7:20" s="41" customFormat="1" ht="15" x14ac:dyDescent="0.25">
      <c r="G179" s="101"/>
      <c r="H179" s="101"/>
      <c r="I179" s="101"/>
      <c r="J179" s="101"/>
      <c r="K179" s="101"/>
      <c r="L179" s="101"/>
      <c r="M179" s="101"/>
      <c r="N179" s="101"/>
      <c r="S179" s="101"/>
      <c r="T179" s="101"/>
    </row>
    <row r="180" spans="7:20" s="41" customFormat="1" ht="15" x14ac:dyDescent="0.25">
      <c r="G180" s="101"/>
      <c r="H180" s="101"/>
      <c r="I180" s="101"/>
      <c r="J180" s="101"/>
      <c r="K180" s="101"/>
      <c r="L180" s="101"/>
      <c r="M180" s="101"/>
      <c r="N180" s="101"/>
      <c r="S180" s="101"/>
      <c r="T180" s="101"/>
    </row>
    <row r="181" spans="7:20" s="41" customFormat="1" ht="15" x14ac:dyDescent="0.25">
      <c r="G181" s="101"/>
      <c r="H181" s="101"/>
      <c r="I181" s="101"/>
      <c r="J181" s="101"/>
      <c r="K181" s="101"/>
      <c r="L181" s="101"/>
      <c r="M181" s="101"/>
      <c r="N181" s="101"/>
      <c r="S181" s="101"/>
      <c r="T181" s="101"/>
    </row>
    <row r="182" spans="7:20" s="41" customFormat="1" ht="15" x14ac:dyDescent="0.25">
      <c r="G182" s="101"/>
      <c r="H182" s="101"/>
      <c r="I182" s="101"/>
      <c r="J182" s="101"/>
      <c r="K182" s="101"/>
      <c r="L182" s="101"/>
      <c r="M182" s="101"/>
      <c r="N182" s="101"/>
      <c r="S182" s="101"/>
      <c r="T182" s="101"/>
    </row>
    <row r="183" spans="7:20" s="41" customFormat="1" ht="15" x14ac:dyDescent="0.25">
      <c r="G183" s="101"/>
      <c r="H183" s="101"/>
      <c r="I183" s="101"/>
      <c r="J183" s="101"/>
      <c r="K183" s="101"/>
      <c r="L183" s="101"/>
      <c r="M183" s="101"/>
      <c r="N183" s="101"/>
      <c r="S183" s="101"/>
      <c r="T183" s="101"/>
    </row>
    <row r="184" spans="7:20" s="41" customFormat="1" ht="15" x14ac:dyDescent="0.25">
      <c r="G184" s="101"/>
      <c r="H184" s="101"/>
      <c r="I184" s="101"/>
      <c r="J184" s="101"/>
      <c r="K184" s="101"/>
      <c r="L184" s="101"/>
      <c r="M184" s="101"/>
      <c r="N184" s="101"/>
      <c r="S184" s="101"/>
      <c r="T184" s="101"/>
    </row>
    <row r="185" spans="7:20" s="41" customFormat="1" ht="15" x14ac:dyDescent="0.25">
      <c r="G185" s="101"/>
      <c r="H185" s="101"/>
      <c r="I185" s="101"/>
      <c r="J185" s="101"/>
      <c r="K185" s="101"/>
      <c r="L185" s="101"/>
      <c r="M185" s="101"/>
      <c r="N185" s="101"/>
      <c r="S185" s="101"/>
      <c r="T185" s="101"/>
    </row>
    <row r="186" spans="7:20" s="41" customFormat="1" ht="15" x14ac:dyDescent="0.25">
      <c r="G186" s="101"/>
      <c r="H186" s="101"/>
      <c r="I186" s="101"/>
      <c r="J186" s="101"/>
      <c r="K186" s="101"/>
      <c r="L186" s="101"/>
      <c r="M186" s="101"/>
      <c r="N186" s="101"/>
      <c r="S186" s="101"/>
      <c r="T186" s="101"/>
    </row>
    <row r="187" spans="7:20" s="41" customFormat="1" ht="15" x14ac:dyDescent="0.25">
      <c r="G187" s="101"/>
      <c r="H187" s="101"/>
      <c r="I187" s="101"/>
      <c r="J187" s="101"/>
      <c r="K187" s="101"/>
      <c r="L187" s="101"/>
      <c r="M187" s="101"/>
      <c r="N187" s="101"/>
      <c r="S187" s="101"/>
      <c r="T187" s="101"/>
    </row>
    <row r="188" spans="7:20" s="41" customFormat="1" ht="15" x14ac:dyDescent="0.25">
      <c r="G188" s="101"/>
      <c r="H188" s="101"/>
      <c r="I188" s="101"/>
      <c r="J188" s="101"/>
      <c r="K188" s="101"/>
      <c r="L188" s="101"/>
      <c r="M188" s="101"/>
      <c r="N188" s="101"/>
      <c r="S188" s="101"/>
      <c r="T188" s="101"/>
    </row>
    <row r="189" spans="7:20" s="41" customFormat="1" ht="15" x14ac:dyDescent="0.25">
      <c r="G189" s="101"/>
      <c r="H189" s="101"/>
      <c r="I189" s="101"/>
      <c r="J189" s="101"/>
      <c r="K189" s="101"/>
      <c r="L189" s="101"/>
      <c r="M189" s="101"/>
      <c r="N189" s="101"/>
      <c r="S189" s="101"/>
      <c r="T189" s="101"/>
    </row>
    <row r="190" spans="7:20" s="41" customFormat="1" ht="15" x14ac:dyDescent="0.25">
      <c r="G190" s="101"/>
      <c r="H190" s="101"/>
      <c r="I190" s="101"/>
      <c r="J190" s="101"/>
      <c r="K190" s="101"/>
      <c r="L190" s="101"/>
      <c r="M190" s="101"/>
      <c r="N190" s="101"/>
      <c r="S190" s="101"/>
      <c r="T190" s="101"/>
    </row>
    <row r="191" spans="7:20" s="41" customFormat="1" ht="15" x14ac:dyDescent="0.25">
      <c r="G191" s="101"/>
      <c r="H191" s="101"/>
      <c r="I191" s="101"/>
      <c r="J191" s="101"/>
      <c r="K191" s="101"/>
      <c r="L191" s="101"/>
      <c r="M191" s="101"/>
      <c r="N191" s="101"/>
      <c r="S191" s="101"/>
      <c r="T191" s="101"/>
    </row>
  </sheetData>
  <phoneticPr fontId="32" type="noConversion"/>
  <dataValidations count="1">
    <dataValidation allowBlank="1" showInputMessage="1" showErrorMessage="1" promptTitle="&lt;Click to Select Discount Rate&gt;" sqref="B12:B13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(Body),Bold"&amp;14Capital Cost Projections</oddHeader>
    <oddFooter>&amp;LFlood Control 2.0: Benefit-Cost Tool&amp;RJanuary 2016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="75" zoomScaleNormal="75" zoomScalePageLayoutView="75" workbookViewId="0">
      <selection activeCell="B19" sqref="B19:D21"/>
    </sheetView>
  </sheetViews>
  <sheetFormatPr defaultColWidth="10.875" defaultRowHeight="12.75" x14ac:dyDescent="0.2"/>
  <cols>
    <col min="1" max="1" width="26.875" style="24" bestFit="1" customWidth="1"/>
    <col min="2" max="7" width="7.125" style="24" customWidth="1"/>
    <col min="8" max="8" width="4" style="24" customWidth="1"/>
    <col min="9" max="9" width="26.875" style="24" customWidth="1"/>
    <col min="10" max="15" width="7.125" style="24" customWidth="1"/>
    <col min="16" max="16" width="4" style="23" customWidth="1"/>
    <col min="17" max="17" width="26.875" style="24" customWidth="1"/>
    <col min="18" max="23" width="7.125" style="24" customWidth="1"/>
    <col min="24" max="16384" width="10.875" style="23"/>
  </cols>
  <sheetData>
    <row r="1" spans="1:29" s="20" customFormat="1" ht="15.75" x14ac:dyDescent="0.25">
      <c r="A1" s="19" t="s">
        <v>88</v>
      </c>
      <c r="B1" s="19"/>
      <c r="C1" s="19"/>
      <c r="D1" s="19"/>
      <c r="E1" s="19"/>
      <c r="F1" s="19"/>
      <c r="G1" s="19"/>
      <c r="H1" s="19"/>
      <c r="I1" s="19" t="str">
        <f>Project_Assumptions!$B$15</f>
        <v>North</v>
      </c>
      <c r="J1" s="19"/>
      <c r="K1" s="19"/>
      <c r="L1" s="19"/>
      <c r="M1" s="19"/>
      <c r="N1" s="19"/>
      <c r="O1" s="19"/>
      <c r="Q1" s="19" t="str">
        <f>Project_Assumptions!B16</f>
        <v>Middle</v>
      </c>
      <c r="R1" s="19"/>
      <c r="S1" s="19"/>
      <c r="T1" s="19"/>
      <c r="U1" s="19"/>
      <c r="V1" s="19"/>
      <c r="W1" s="19"/>
    </row>
    <row r="3" spans="1:29" s="22" customFormat="1" x14ac:dyDescent="0.2">
      <c r="A3" s="200" t="s">
        <v>16</v>
      </c>
      <c r="B3" s="455" t="s">
        <v>8</v>
      </c>
      <c r="C3" s="456"/>
      <c r="D3" s="455" t="s">
        <v>6</v>
      </c>
      <c r="E3" s="456"/>
      <c r="F3" s="455" t="s">
        <v>7</v>
      </c>
      <c r="G3" s="456"/>
      <c r="H3" s="21"/>
      <c r="I3" s="200" t="s">
        <v>16</v>
      </c>
      <c r="J3" s="455" t="s">
        <v>8</v>
      </c>
      <c r="K3" s="456"/>
      <c r="L3" s="455" t="s">
        <v>6</v>
      </c>
      <c r="M3" s="456"/>
      <c r="N3" s="455" t="s">
        <v>7</v>
      </c>
      <c r="O3" s="456"/>
      <c r="Q3" s="200" t="s">
        <v>16</v>
      </c>
      <c r="R3" s="455" t="s">
        <v>8</v>
      </c>
      <c r="S3" s="456"/>
      <c r="T3" s="455" t="s">
        <v>6</v>
      </c>
      <c r="U3" s="456"/>
      <c r="V3" s="455" t="s">
        <v>7</v>
      </c>
      <c r="W3" s="456"/>
    </row>
    <row r="4" spans="1:29" x14ac:dyDescent="0.2">
      <c r="A4" s="32" t="s">
        <v>169</v>
      </c>
      <c r="B4" s="208" t="s">
        <v>17</v>
      </c>
      <c r="C4" s="208" t="s">
        <v>18</v>
      </c>
      <c r="D4" s="208" t="s">
        <v>17</v>
      </c>
      <c r="E4" s="208" t="s">
        <v>18</v>
      </c>
      <c r="F4" s="208" t="s">
        <v>17</v>
      </c>
      <c r="G4" s="208" t="s">
        <v>18</v>
      </c>
      <c r="I4" s="32" t="s">
        <v>169</v>
      </c>
      <c r="J4" s="211" t="s">
        <v>17</v>
      </c>
      <c r="K4" s="211" t="s">
        <v>18</v>
      </c>
      <c r="L4" s="211" t="s">
        <v>17</v>
      </c>
      <c r="M4" s="211" t="s">
        <v>18</v>
      </c>
      <c r="N4" s="211" t="s">
        <v>17</v>
      </c>
      <c r="O4" s="211" t="s">
        <v>18</v>
      </c>
      <c r="P4" s="199"/>
      <c r="Q4" s="32" t="s">
        <v>169</v>
      </c>
      <c r="R4" s="211" t="s">
        <v>17</v>
      </c>
      <c r="S4" s="211" t="s">
        <v>18</v>
      </c>
      <c r="T4" s="211" t="s">
        <v>17</v>
      </c>
      <c r="U4" s="211" t="s">
        <v>18</v>
      </c>
      <c r="V4" s="211" t="s">
        <v>17</v>
      </c>
      <c r="W4" s="211" t="s">
        <v>18</v>
      </c>
    </row>
    <row r="5" spans="1:29" x14ac:dyDescent="0.2">
      <c r="A5" s="25" t="s">
        <v>168</v>
      </c>
      <c r="B5" s="212">
        <f>(Benefits_FloodRisk!$C$16)/1000000</f>
        <v>1.9237500000000001E-2</v>
      </c>
      <c r="C5" s="212">
        <f>(Benefits_FloodRisk!$C$18)/1000000</f>
        <v>0.35942385110929992</v>
      </c>
      <c r="D5" s="212">
        <f>(Benefits_FloodRisk!$D$16)/1000000</f>
        <v>2.1375000000000002E-2</v>
      </c>
      <c r="E5" s="212">
        <f>(Benefits_FloodRisk!$D$18)/1000000</f>
        <v>0.3993598345658888</v>
      </c>
      <c r="F5" s="212">
        <f>(Benefits_FloodRisk!$E$16)/1000000</f>
        <v>2.77875E-2</v>
      </c>
      <c r="G5" s="212">
        <f>(Benefits_FloodRisk!$E$18)/1000000</f>
        <v>0.51916778493565541</v>
      </c>
      <c r="H5" s="33"/>
      <c r="I5" s="25" t="s">
        <v>168</v>
      </c>
      <c r="J5" s="212">
        <f>(Benefits_FloodRisk!$C$16)/3000000</f>
        <v>6.4124999999999998E-3</v>
      </c>
      <c r="K5" s="212">
        <f>(Benefits_FloodRisk!$C$18)/3000000</f>
        <v>0.11980795036976664</v>
      </c>
      <c r="L5" s="212">
        <f>(Benefits_FloodRisk!$D$16)/3000000</f>
        <v>7.1250000000000003E-3</v>
      </c>
      <c r="M5" s="212">
        <f>(Benefits_FloodRisk!$D$18)/3000000</f>
        <v>0.13311994485529627</v>
      </c>
      <c r="N5" s="212">
        <f>(Benefits_FloodRisk!$E$16)/3000000</f>
        <v>9.2624999999999999E-3</v>
      </c>
      <c r="O5" s="212">
        <f>(Benefits_FloodRisk!$E$18)/3000000</f>
        <v>0.17305592831188515</v>
      </c>
      <c r="P5" s="33"/>
      <c r="Q5" s="25" t="s">
        <v>168</v>
      </c>
      <c r="R5" s="212">
        <f>(Benefits_FloodRisk!$C$16)/3000000</f>
        <v>6.4124999999999998E-3</v>
      </c>
      <c r="S5" s="212">
        <f>(Benefits_FloodRisk!$C$18)/3000000</f>
        <v>0.11980795036976664</v>
      </c>
      <c r="T5" s="212">
        <f>(Benefits_FloodRisk!$D$16)/3000000</f>
        <v>7.1250000000000003E-3</v>
      </c>
      <c r="U5" s="212">
        <f>(Benefits_FloodRisk!$D$18)/3000000</f>
        <v>0.13311994485529627</v>
      </c>
      <c r="V5" s="212">
        <f>(Benefits_FloodRisk!$E$16)/3000000</f>
        <v>9.2624999999999999E-3</v>
      </c>
      <c r="W5" s="212">
        <f>(Benefits_FloodRisk!$E$18)/3000000</f>
        <v>0.17305592831188515</v>
      </c>
    </row>
    <row r="6" spans="1:29" x14ac:dyDescent="0.2">
      <c r="A6" s="210" t="s">
        <v>167</v>
      </c>
      <c r="B6" s="203">
        <f>Benefits_Rec!F44/1000000</f>
        <v>0</v>
      </c>
      <c r="C6" s="203">
        <f>Benefits_Rec!G44/1000000</f>
        <v>0</v>
      </c>
      <c r="D6" s="203">
        <f>Benefits_Rec!F45/1000000</f>
        <v>0</v>
      </c>
      <c r="E6" s="203">
        <f>Benefits_Rec!G45/1000000</f>
        <v>0</v>
      </c>
      <c r="F6" s="203">
        <f>Benefits_Rec!F46/1000000</f>
        <v>0</v>
      </c>
      <c r="G6" s="203">
        <f>Benefits_Rec!G46/1000000</f>
        <v>0</v>
      </c>
      <c r="H6" s="33"/>
      <c r="I6" s="210" t="s">
        <v>167</v>
      </c>
      <c r="J6" s="203">
        <f>(Benefits_Rec!$F$49)/3000000</f>
        <v>8.8663816703615145E-2</v>
      </c>
      <c r="K6" s="203">
        <f>(Benefits_Rec!$G$49)/3000000</f>
        <v>1.6565505109116274</v>
      </c>
      <c r="L6" s="203">
        <f>(Benefits_Rec!$F$50)/3000000</f>
        <v>9.8515351892905723E-2</v>
      </c>
      <c r="M6" s="203">
        <f>(Benefits_Rec!$G$50)/3000000</f>
        <v>1.840611678790697</v>
      </c>
      <c r="N6" s="203">
        <f>(Benefits_Rec!$F$51)/3000000</f>
        <v>0.1083668870821963</v>
      </c>
      <c r="O6" s="203">
        <f>(Benefits_Rec!$G$51)/3000000</f>
        <v>2.024672846669767</v>
      </c>
      <c r="P6" s="37"/>
      <c r="Q6" s="210" t="s">
        <v>167</v>
      </c>
      <c r="R6" s="203">
        <f>(Benefits_Rec!$F$49)/3000000</f>
        <v>8.8663816703615145E-2</v>
      </c>
      <c r="S6" s="203">
        <f>(Benefits_Rec!$G$49)/3000000</f>
        <v>1.6565505109116274</v>
      </c>
      <c r="T6" s="203">
        <f>(Benefits_Rec!$F$50)/3000000</f>
        <v>9.8515351892905723E-2</v>
      </c>
      <c r="U6" s="203">
        <f>(Benefits_Rec!$G$50)/3000000</f>
        <v>1.840611678790697</v>
      </c>
      <c r="V6" s="203">
        <f>(Benefits_Rec!$F$51)/3000000</f>
        <v>0.1083668870821963</v>
      </c>
      <c r="W6" s="203">
        <f>(Benefits_Rec!$G$51)/3000000</f>
        <v>2.024672846669767</v>
      </c>
    </row>
    <row r="7" spans="1:29" x14ac:dyDescent="0.2">
      <c r="A7" s="27" t="s">
        <v>236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3"/>
      <c r="I7" s="27" t="s">
        <v>236</v>
      </c>
      <c r="J7" s="405">
        <f>Benefits_Env_Other!$AC$21/3000000</f>
        <v>1.7431404337074771E-4</v>
      </c>
      <c r="K7" s="406">
        <f>Benefits_Env_Other!$AC$20/3000000</f>
        <v>3.2567966092656364E-3</v>
      </c>
      <c r="L7" s="405">
        <f>Benefits_Env_Other!$AD$21/3000000</f>
        <v>8.4384121836686421E-2</v>
      </c>
      <c r="M7" s="406">
        <f>Benefits_Env_Other!$AD$20/3000000</f>
        <v>1.5765908274473399</v>
      </c>
      <c r="N7" s="405">
        <f>Benefits_Env_Other!$AE$21/3000000</f>
        <v>0.25797460419934248</v>
      </c>
      <c r="O7" s="406">
        <f>Benefits_Env_Other!$AE$20/3000000</f>
        <v>4.8198687838713479</v>
      </c>
      <c r="P7" s="37"/>
      <c r="Q7" s="27" t="s">
        <v>236</v>
      </c>
      <c r="R7" s="405">
        <f>Benefits_Env_Other!$AC$21/3000000</f>
        <v>1.7431404337074771E-4</v>
      </c>
      <c r="S7" s="406">
        <f>Benefits_Env_Other!$AC$20/3000000</f>
        <v>3.2567966092656364E-3</v>
      </c>
      <c r="T7" s="405">
        <f>Benefits_Env_Other!$AD$21/3000000</f>
        <v>8.4384121836686421E-2</v>
      </c>
      <c r="U7" s="406">
        <f>Benefits_Env_Other!$AD$20/3000000</f>
        <v>1.5765908274473399</v>
      </c>
      <c r="V7" s="405">
        <f>Benefits_Env_Other!$AE$21/3000000</f>
        <v>0.25797460419934248</v>
      </c>
      <c r="W7" s="406">
        <f>Benefits_Env_Other!$AE$20/3000000</f>
        <v>4.8198687838713479</v>
      </c>
    </row>
    <row r="8" spans="1:29" s="22" customFormat="1" x14ac:dyDescent="0.2">
      <c r="A8" s="21" t="s">
        <v>20</v>
      </c>
      <c r="B8" s="29">
        <f t="shared" ref="B8:G8" si="0">SUM(B5:B7)</f>
        <v>1.9237500000000001E-2</v>
      </c>
      <c r="C8" s="29">
        <f t="shared" si="0"/>
        <v>0.35942385110929992</v>
      </c>
      <c r="D8" s="29">
        <f t="shared" si="0"/>
        <v>2.1375000000000002E-2</v>
      </c>
      <c r="E8" s="29">
        <f t="shared" si="0"/>
        <v>0.3993598345658888</v>
      </c>
      <c r="F8" s="29">
        <f t="shared" si="0"/>
        <v>2.77875E-2</v>
      </c>
      <c r="G8" s="29">
        <f t="shared" si="0"/>
        <v>0.51916778493565541</v>
      </c>
      <c r="H8" s="36"/>
      <c r="I8" s="21" t="s">
        <v>20</v>
      </c>
      <c r="J8" s="29">
        <f t="shared" ref="J8:O8" si="1">SUM(J5:J7)</f>
        <v>9.5250630746985893E-2</v>
      </c>
      <c r="K8" s="29">
        <f t="shared" si="1"/>
        <v>1.7796152578906597</v>
      </c>
      <c r="L8" s="29">
        <f t="shared" si="1"/>
        <v>0.19002447372959214</v>
      </c>
      <c r="M8" s="29">
        <f t="shared" si="1"/>
        <v>3.5503224510933329</v>
      </c>
      <c r="N8" s="29">
        <f t="shared" si="1"/>
        <v>0.37560399128153876</v>
      </c>
      <c r="O8" s="29">
        <f t="shared" si="1"/>
        <v>7.0175975588529997</v>
      </c>
      <c r="P8" s="36"/>
      <c r="Q8" s="21" t="s">
        <v>20</v>
      </c>
      <c r="R8" s="29">
        <f t="shared" ref="R8:W8" si="2">SUM(R5:R7)</f>
        <v>9.5250630746985893E-2</v>
      </c>
      <c r="S8" s="29">
        <f t="shared" si="2"/>
        <v>1.7796152578906597</v>
      </c>
      <c r="T8" s="29">
        <f t="shared" si="2"/>
        <v>0.19002447372959214</v>
      </c>
      <c r="U8" s="29">
        <f t="shared" si="2"/>
        <v>3.5503224510933329</v>
      </c>
      <c r="V8" s="29">
        <f t="shared" si="2"/>
        <v>0.37560399128153876</v>
      </c>
      <c r="W8" s="29">
        <f t="shared" si="2"/>
        <v>7.0175975588529997</v>
      </c>
    </row>
    <row r="9" spans="1:29" x14ac:dyDescent="0.2">
      <c r="H9" s="33"/>
      <c r="P9" s="37"/>
    </row>
    <row r="10" spans="1:29" s="22" customFormat="1" x14ac:dyDescent="0.2">
      <c r="A10" s="200" t="s">
        <v>21</v>
      </c>
      <c r="B10" s="455" t="s">
        <v>8</v>
      </c>
      <c r="C10" s="456"/>
      <c r="D10" s="455" t="s">
        <v>6</v>
      </c>
      <c r="E10" s="456"/>
      <c r="F10" s="455" t="s">
        <v>7</v>
      </c>
      <c r="G10" s="456"/>
      <c r="H10" s="36"/>
      <c r="I10" s="200" t="s">
        <v>21</v>
      </c>
      <c r="J10" s="455" t="s">
        <v>8</v>
      </c>
      <c r="K10" s="456"/>
      <c r="L10" s="455" t="s">
        <v>6</v>
      </c>
      <c r="M10" s="456"/>
      <c r="N10" s="455" t="s">
        <v>7</v>
      </c>
      <c r="O10" s="456"/>
      <c r="P10" s="201"/>
      <c r="Q10" s="200" t="s">
        <v>21</v>
      </c>
      <c r="R10" s="455" t="s">
        <v>8</v>
      </c>
      <c r="S10" s="456"/>
      <c r="T10" s="455" t="s">
        <v>6</v>
      </c>
      <c r="U10" s="456"/>
      <c r="V10" s="455" t="s">
        <v>7</v>
      </c>
      <c r="W10" s="456"/>
      <c r="Y10" s="23"/>
      <c r="Z10" s="23"/>
      <c r="AA10" s="23"/>
      <c r="AB10" s="23"/>
      <c r="AC10" s="23"/>
    </row>
    <row r="11" spans="1:29" x14ac:dyDescent="0.2">
      <c r="A11" s="32" t="s">
        <v>169</v>
      </c>
      <c r="B11" s="48" t="s">
        <v>17</v>
      </c>
      <c r="C11" s="48" t="s">
        <v>18</v>
      </c>
      <c r="D11" s="48" t="s">
        <v>17</v>
      </c>
      <c r="E11" s="48" t="s">
        <v>18</v>
      </c>
      <c r="F11" s="48" t="s">
        <v>17</v>
      </c>
      <c r="G11" s="48" t="s">
        <v>18</v>
      </c>
      <c r="H11" s="38"/>
      <c r="I11" s="32" t="s">
        <v>169</v>
      </c>
      <c r="J11" s="48" t="s">
        <v>17</v>
      </c>
      <c r="K11" s="48" t="s">
        <v>18</v>
      </c>
      <c r="L11" s="48" t="s">
        <v>17</v>
      </c>
      <c r="M11" s="48" t="s">
        <v>18</v>
      </c>
      <c r="N11" s="48" t="s">
        <v>17</v>
      </c>
      <c r="O11" s="48" t="s">
        <v>18</v>
      </c>
      <c r="P11" s="202"/>
      <c r="Q11" s="32" t="s">
        <v>169</v>
      </c>
      <c r="R11" s="48" t="s">
        <v>17</v>
      </c>
      <c r="S11" s="48" t="s">
        <v>18</v>
      </c>
      <c r="T11" s="48" t="s">
        <v>17</v>
      </c>
      <c r="U11" s="48" t="s">
        <v>18</v>
      </c>
      <c r="V11" s="48" t="s">
        <v>17</v>
      </c>
      <c r="W11" s="48" t="s">
        <v>18</v>
      </c>
    </row>
    <row r="12" spans="1:29" x14ac:dyDescent="0.2">
      <c r="A12" s="25" t="s">
        <v>22</v>
      </c>
      <c r="B12" s="26">
        <f>(Costs_Capital!D13)/1000000</f>
        <v>0</v>
      </c>
      <c r="C12" s="26">
        <f>(Costs_Capital!D12)/1000000</f>
        <v>0</v>
      </c>
      <c r="D12" s="26">
        <f>(Costs_Capital!E13)/1000000</f>
        <v>0</v>
      </c>
      <c r="E12" s="26">
        <f>(Costs_Capital!E12)/1000000</f>
        <v>0</v>
      </c>
      <c r="F12" s="26">
        <f>(Costs_Capital!F13)/1000000</f>
        <v>0</v>
      </c>
      <c r="G12" s="26">
        <f>(Costs_Capital!F12)/1000000</f>
        <v>0</v>
      </c>
      <c r="H12" s="38"/>
      <c r="I12" s="25" t="s">
        <v>22</v>
      </c>
      <c r="J12" s="26">
        <f>(Costs_Capital!J13)/1000000</f>
        <v>0.11297337425892948</v>
      </c>
      <c r="K12" s="26">
        <f>(Costs_Capital!J12)/1000000</f>
        <v>2.1107381545916404</v>
      </c>
      <c r="L12" s="26">
        <f>(Costs_Capital!K13)/1000000</f>
        <v>0.16986402744956519</v>
      </c>
      <c r="M12" s="26">
        <f>(Costs_Capital!K12)/1000000</f>
        <v>3.1736547322083721</v>
      </c>
      <c r="N12" s="26">
        <f>(Costs_Capital!L13)/1000000</f>
        <v>0.42852623427304415</v>
      </c>
      <c r="O12" s="26">
        <f>(Costs_Capital!L12)/1000000</f>
        <v>8.0063703404176003</v>
      </c>
      <c r="P12" s="37"/>
      <c r="Q12" s="25" t="s">
        <v>22</v>
      </c>
      <c r="R12" s="26">
        <f>(Costs_Capital!P13)/1000000</f>
        <v>8.4225895215793517E-2</v>
      </c>
      <c r="S12" s="26">
        <f>(Costs_Capital!P12)/1000000</f>
        <v>1.5736346002125468</v>
      </c>
      <c r="T12" s="26">
        <f>(Costs_Capital!Q13)/1000000</f>
        <v>0.10513393912738131</v>
      </c>
      <c r="U12" s="26">
        <f>(Costs_Capital!Q12)/1000000</f>
        <v>1.964270060218537</v>
      </c>
      <c r="V12" s="26">
        <f>(Costs_Capital!R13)/1000000</f>
        <v>0.1921106388597526</v>
      </c>
      <c r="W12" s="26">
        <f>(Costs_Capital!R12)/1000000</f>
        <v>3.589299319456281</v>
      </c>
    </row>
    <row r="13" spans="1:29" x14ac:dyDescent="0.2">
      <c r="A13" s="27" t="s">
        <v>23</v>
      </c>
      <c r="B13" s="205">
        <f>(Costs_O_and_M!E43)/1000000</f>
        <v>3.2706</v>
      </c>
      <c r="C13" s="205">
        <f>(Costs_O_and_M!E45)/1000000</f>
        <v>61.106258476313265</v>
      </c>
      <c r="D13" s="205">
        <f>(Costs_O_and_M!F43)/1000000</f>
        <v>3.6339999999999999</v>
      </c>
      <c r="E13" s="205">
        <f>(Costs_O_and_M!F45)/1000000</f>
        <v>67.895842751459185</v>
      </c>
      <c r="F13" s="205">
        <f>(Costs_O_and_M!G43)/1000000</f>
        <v>4.7241999999999997</v>
      </c>
      <c r="G13" s="205">
        <f>(Costs_O_and_M!G45)/1000000</f>
        <v>88.264595576896937</v>
      </c>
      <c r="H13" s="33"/>
      <c r="I13" s="27" t="s">
        <v>23</v>
      </c>
      <c r="J13" s="205">
        <f>(Costs_O_and_M!$J$43)/3000000</f>
        <v>1.0200000000000001E-2</v>
      </c>
      <c r="K13" s="205">
        <f>(Costs_O_and_M!$J$45)/3000000</f>
        <v>0.19057171052968727</v>
      </c>
      <c r="L13" s="205">
        <f>(Costs_O_and_M!$K$43)/3000000</f>
        <v>1.1333333333333334E-2</v>
      </c>
      <c r="M13" s="205">
        <f>(Costs_O_and_M!$K$45)/3000000</f>
        <v>0.21174634503298587</v>
      </c>
      <c r="N13" s="205">
        <f>(Costs_O_and_M!$L$43)/3000000</f>
        <v>1.4733333333333333E-2</v>
      </c>
      <c r="O13" s="205">
        <f>(Costs_O_and_M!$L$45)/3000000</f>
        <v>0.27527024854288162</v>
      </c>
      <c r="P13" s="37"/>
      <c r="Q13" s="27" t="s">
        <v>23</v>
      </c>
      <c r="R13" s="205">
        <f>(Costs_O_and_M!$J$43)/3000000</f>
        <v>1.0200000000000001E-2</v>
      </c>
      <c r="S13" s="205">
        <f>(Costs_O_and_M!$J$45)/3000000</f>
        <v>0.19057171052968727</v>
      </c>
      <c r="T13" s="205">
        <f>(Costs_O_and_M!$K$43)/3000000</f>
        <v>1.1333333333333334E-2</v>
      </c>
      <c r="U13" s="205">
        <f>(Costs_O_and_M!$K$45)/3000000</f>
        <v>0.21174634503298587</v>
      </c>
      <c r="V13" s="205">
        <f>(Costs_O_and_M!$L$43)/3000000</f>
        <v>1.4733333333333333E-2</v>
      </c>
      <c r="W13" s="205">
        <f>(Costs_O_and_M!$L$45)/3000000</f>
        <v>0.27527024854288162</v>
      </c>
    </row>
    <row r="14" spans="1:29" s="22" customFormat="1" x14ac:dyDescent="0.2">
      <c r="A14" s="21" t="s">
        <v>24</v>
      </c>
      <c r="B14" s="28">
        <f t="shared" ref="B14:G14" si="3">SUM(B12:B13)</f>
        <v>3.2706</v>
      </c>
      <c r="C14" s="28">
        <f t="shared" si="3"/>
        <v>61.106258476313265</v>
      </c>
      <c r="D14" s="28">
        <f t="shared" si="3"/>
        <v>3.6339999999999999</v>
      </c>
      <c r="E14" s="28">
        <f t="shared" si="3"/>
        <v>67.895842751459185</v>
      </c>
      <c r="F14" s="28">
        <f t="shared" si="3"/>
        <v>4.7241999999999997</v>
      </c>
      <c r="G14" s="28">
        <f t="shared" si="3"/>
        <v>88.264595576896937</v>
      </c>
      <c r="H14" s="36"/>
      <c r="I14" s="21" t="s">
        <v>24</v>
      </c>
      <c r="J14" s="28">
        <f t="shared" ref="J14:O14" si="4">SUM(J12:J13)</f>
        <v>0.12317337425892948</v>
      </c>
      <c r="K14" s="28">
        <f t="shared" si="4"/>
        <v>2.3013098651213277</v>
      </c>
      <c r="L14" s="28">
        <f t="shared" si="4"/>
        <v>0.18119736078289853</v>
      </c>
      <c r="M14" s="28">
        <f t="shared" si="4"/>
        <v>3.3854010772413581</v>
      </c>
      <c r="N14" s="28">
        <f t="shared" si="4"/>
        <v>0.44325956760637747</v>
      </c>
      <c r="O14" s="28">
        <f t="shared" si="4"/>
        <v>8.2816405889604816</v>
      </c>
      <c r="P14" s="36"/>
      <c r="Q14" s="21" t="s">
        <v>24</v>
      </c>
      <c r="R14" s="28">
        <f t="shared" ref="R14:W14" si="5">SUM(R12:R13)</f>
        <v>9.4425895215793518E-2</v>
      </c>
      <c r="S14" s="28">
        <f t="shared" si="5"/>
        <v>1.7642063107422341</v>
      </c>
      <c r="T14" s="28">
        <f t="shared" si="5"/>
        <v>0.11646727246071464</v>
      </c>
      <c r="U14" s="28">
        <f t="shared" si="5"/>
        <v>2.1760164052515227</v>
      </c>
      <c r="V14" s="28">
        <f t="shared" si="5"/>
        <v>0.20684397219308592</v>
      </c>
      <c r="W14" s="28">
        <f t="shared" si="5"/>
        <v>3.8645695679991627</v>
      </c>
    </row>
    <row r="16" spans="1:29" s="22" customFormat="1" x14ac:dyDescent="0.2">
      <c r="A16" s="21" t="s">
        <v>25</v>
      </c>
      <c r="H16" s="21"/>
      <c r="I16" s="21" t="s">
        <v>25</v>
      </c>
      <c r="Q16" s="21" t="s">
        <v>25</v>
      </c>
    </row>
    <row r="17" spans="1:23" x14ac:dyDescent="0.2">
      <c r="A17" s="30"/>
      <c r="B17" s="452" t="s">
        <v>26</v>
      </c>
      <c r="C17" s="453"/>
      <c r="D17" s="454"/>
      <c r="I17" s="30"/>
      <c r="J17" s="452" t="s">
        <v>26</v>
      </c>
      <c r="K17" s="453"/>
      <c r="L17" s="454"/>
      <c r="Q17" s="30"/>
      <c r="R17" s="452" t="s">
        <v>26</v>
      </c>
      <c r="S17" s="453"/>
      <c r="T17" s="454"/>
    </row>
    <row r="18" spans="1:23" x14ac:dyDescent="0.2">
      <c r="A18" s="31" t="s">
        <v>27</v>
      </c>
      <c r="B18" s="208" t="s">
        <v>8</v>
      </c>
      <c r="C18" s="208" t="s">
        <v>6</v>
      </c>
      <c r="D18" s="209" t="s">
        <v>7</v>
      </c>
      <c r="I18" s="31" t="s">
        <v>27</v>
      </c>
      <c r="J18" s="208" t="s">
        <v>8</v>
      </c>
      <c r="K18" s="208" t="s">
        <v>6</v>
      </c>
      <c r="L18" s="209" t="s">
        <v>7</v>
      </c>
      <c r="Q18" s="31" t="s">
        <v>27</v>
      </c>
      <c r="R18" s="208" t="s">
        <v>8</v>
      </c>
      <c r="S18" s="208" t="s">
        <v>6</v>
      </c>
      <c r="T18" s="209" t="s">
        <v>7</v>
      </c>
    </row>
    <row r="19" spans="1:23" x14ac:dyDescent="0.2">
      <c r="A19" s="31" t="s">
        <v>8</v>
      </c>
      <c r="B19" s="438">
        <f>C8/C14</f>
        <v>5.881948266373142E-3</v>
      </c>
      <c r="C19" s="439">
        <f>E8/C14</f>
        <v>6.5354980737479355E-3</v>
      </c>
      <c r="D19" s="440">
        <f>G8/C14</f>
        <v>8.4961474958723162E-3</v>
      </c>
      <c r="I19" s="31" t="s">
        <v>8</v>
      </c>
      <c r="J19" s="256">
        <f>K8/K14</f>
        <v>0.77330536181264586</v>
      </c>
      <c r="K19" s="257">
        <f>M8/K14</f>
        <v>1.5427398565060928</v>
      </c>
      <c r="L19" s="258">
        <f>O8/K14</f>
        <v>3.0493927242097074</v>
      </c>
      <c r="Q19" s="31" t="s">
        <v>8</v>
      </c>
      <c r="R19" s="256">
        <f>S8/S14</f>
        <v>1.0087342092898095</v>
      </c>
      <c r="S19" s="257">
        <f>U8/S14</f>
        <v>2.0124190858378954</v>
      </c>
      <c r="T19" s="258">
        <f>W8/S14</f>
        <v>3.9777646843925907</v>
      </c>
    </row>
    <row r="20" spans="1:23" x14ac:dyDescent="0.2">
      <c r="A20" s="31" t="s">
        <v>6</v>
      </c>
      <c r="B20" s="441">
        <f>C8/E14</f>
        <v>5.2937534397358276E-3</v>
      </c>
      <c r="C20" s="442">
        <f>E8/E14</f>
        <v>5.881948266373142E-3</v>
      </c>
      <c r="D20" s="443">
        <f>G8/E14</f>
        <v>7.6465327462850842E-3</v>
      </c>
      <c r="I20" s="31" t="s">
        <v>6</v>
      </c>
      <c r="J20" s="259">
        <f>K8/M14</f>
        <v>0.52567338914560879</v>
      </c>
      <c r="K20" s="260">
        <f>M8/M14</f>
        <v>1.0487154609126441</v>
      </c>
      <c r="L20" s="261">
        <f>O8/M14</f>
        <v>2.072899901293642</v>
      </c>
      <c r="Q20" s="31" t="s">
        <v>6</v>
      </c>
      <c r="R20" s="259">
        <f>S8/U14</f>
        <v>0.81783172847217411</v>
      </c>
      <c r="S20" s="260">
        <f>U8/U14</f>
        <v>1.631569708079915</v>
      </c>
      <c r="T20" s="261">
        <f>W8/U14</f>
        <v>3.2249745644917809</v>
      </c>
    </row>
    <row r="21" spans="1:23" x14ac:dyDescent="0.2">
      <c r="A21" s="34" t="s">
        <v>7</v>
      </c>
      <c r="B21" s="444">
        <f>C8/G14</f>
        <v>4.0721180305660215E-3</v>
      </c>
      <c r="C21" s="445">
        <f>E8/G14</f>
        <v>4.5245755895178012E-3</v>
      </c>
      <c r="D21" s="446">
        <f>G8/G14</f>
        <v>5.881948266373142E-3</v>
      </c>
      <c r="I21" s="34" t="s">
        <v>7</v>
      </c>
      <c r="J21" s="262">
        <f>K8/O14</f>
        <v>0.2148868015671806</v>
      </c>
      <c r="K21" s="263">
        <f>M8/O14</f>
        <v>0.42869796303717311</v>
      </c>
      <c r="L21" s="264">
        <f>O8/O14</f>
        <v>0.84736804060387927</v>
      </c>
      <c r="Q21" s="34" t="s">
        <v>7</v>
      </c>
      <c r="R21" s="262">
        <f>S8/W14</f>
        <v>0.46049507625037667</v>
      </c>
      <c r="S21" s="263">
        <f>U8/W14</f>
        <v>0.91868509251121389</v>
      </c>
      <c r="T21" s="264">
        <f>W8/W14</f>
        <v>1.81588076896395</v>
      </c>
    </row>
    <row r="24" spans="1:23" ht="15.75" x14ac:dyDescent="0.25">
      <c r="A24" s="19" t="str">
        <f>Project_Assumptions!B17</f>
        <v>South</v>
      </c>
      <c r="B24" s="19"/>
      <c r="C24" s="19"/>
      <c r="D24" s="19"/>
      <c r="E24" s="19"/>
      <c r="F24" s="19"/>
      <c r="G24" s="19"/>
      <c r="H24" s="19"/>
      <c r="I24" s="19" t="s">
        <v>244</v>
      </c>
      <c r="J24" s="19"/>
      <c r="K24" s="19"/>
      <c r="L24" s="19"/>
      <c r="M24" s="19"/>
      <c r="N24" s="19"/>
      <c r="O24" s="19"/>
      <c r="P24" s="20"/>
      <c r="Q24" s="74"/>
      <c r="R24" s="74"/>
      <c r="S24" s="74"/>
      <c r="T24" s="74"/>
      <c r="U24" s="74"/>
      <c r="V24" s="74"/>
      <c r="W24" s="74"/>
    </row>
    <row r="25" spans="1:23" x14ac:dyDescent="0.2">
      <c r="Q25" s="198"/>
      <c r="R25" s="198"/>
      <c r="S25" s="198"/>
      <c r="T25" s="198"/>
      <c r="U25" s="198"/>
      <c r="V25" s="198"/>
      <c r="W25" s="198"/>
    </row>
    <row r="26" spans="1:23" x14ac:dyDescent="0.2">
      <c r="A26" s="200" t="s">
        <v>16</v>
      </c>
      <c r="B26" s="455" t="s">
        <v>8</v>
      </c>
      <c r="C26" s="456"/>
      <c r="D26" s="455" t="s">
        <v>6</v>
      </c>
      <c r="E26" s="456"/>
      <c r="F26" s="455" t="s">
        <v>7</v>
      </c>
      <c r="G26" s="456"/>
      <c r="H26" s="21"/>
      <c r="I26" s="200" t="s">
        <v>16</v>
      </c>
      <c r="J26" s="455" t="s">
        <v>8</v>
      </c>
      <c r="K26" s="456"/>
      <c r="L26" s="455" t="s">
        <v>6</v>
      </c>
      <c r="M26" s="456"/>
      <c r="N26" s="455" t="s">
        <v>7</v>
      </c>
      <c r="O26" s="456"/>
      <c r="P26" s="22"/>
      <c r="Q26" s="391"/>
      <c r="R26" s="389"/>
      <c r="S26" s="387"/>
      <c r="T26" s="389"/>
      <c r="U26" s="387"/>
      <c r="V26" s="389"/>
      <c r="W26" s="387"/>
    </row>
    <row r="27" spans="1:23" x14ac:dyDescent="0.2">
      <c r="A27" s="32" t="s">
        <v>169</v>
      </c>
      <c r="B27" s="208" t="s">
        <v>17</v>
      </c>
      <c r="C27" s="208" t="s">
        <v>18</v>
      </c>
      <c r="D27" s="208" t="s">
        <v>17</v>
      </c>
      <c r="E27" s="208" t="s">
        <v>18</v>
      </c>
      <c r="F27" s="208" t="s">
        <v>17</v>
      </c>
      <c r="G27" s="208" t="s">
        <v>18</v>
      </c>
      <c r="I27" s="32" t="s">
        <v>169</v>
      </c>
      <c r="J27" s="211" t="s">
        <v>17</v>
      </c>
      <c r="K27" s="211" t="s">
        <v>18</v>
      </c>
      <c r="L27" s="211" t="s">
        <v>17</v>
      </c>
      <c r="M27" s="211" t="s">
        <v>18</v>
      </c>
      <c r="N27" s="211" t="s">
        <v>17</v>
      </c>
      <c r="O27" s="211" t="s">
        <v>18</v>
      </c>
      <c r="P27" s="199"/>
      <c r="Q27" s="392"/>
      <c r="R27" s="383"/>
      <c r="S27" s="383"/>
      <c r="T27" s="383"/>
      <c r="U27" s="383"/>
      <c r="V27" s="383"/>
      <c r="W27" s="383"/>
    </row>
    <row r="28" spans="1:23" x14ac:dyDescent="0.2">
      <c r="A28" s="25" t="s">
        <v>168</v>
      </c>
      <c r="B28" s="212">
        <f>(Benefits_FloodRisk!$C$16)/3000000</f>
        <v>6.4124999999999998E-3</v>
      </c>
      <c r="C28" s="212">
        <f>(Benefits_FloodRisk!$C$18)/3000000</f>
        <v>0.11980795036976664</v>
      </c>
      <c r="D28" s="212">
        <f>(Benefits_FloodRisk!$D$16)/3000000</f>
        <v>7.1250000000000003E-3</v>
      </c>
      <c r="E28" s="212">
        <f>(Benefits_FloodRisk!$D$18)/3000000</f>
        <v>0.13311994485529627</v>
      </c>
      <c r="F28" s="212">
        <f>(Benefits_FloodRisk!$E$16)/3000000</f>
        <v>9.2624999999999999E-3</v>
      </c>
      <c r="G28" s="212">
        <f>(Benefits_FloodRisk!$E$18)/3000000</f>
        <v>0.17305592831188515</v>
      </c>
      <c r="H28" s="33"/>
      <c r="I28" s="25" t="s">
        <v>168</v>
      </c>
      <c r="J28" s="212">
        <f>J5+R5+B28</f>
        <v>1.9237499999999998E-2</v>
      </c>
      <c r="K28" s="212">
        <f t="shared" ref="K28:O28" si="6">K5+S5+C28</f>
        <v>0.35942385110929992</v>
      </c>
      <c r="L28" s="212">
        <f t="shared" si="6"/>
        <v>2.1375000000000002E-2</v>
      </c>
      <c r="M28" s="212">
        <f t="shared" si="6"/>
        <v>0.3993598345658888</v>
      </c>
      <c r="N28" s="212">
        <f t="shared" si="6"/>
        <v>2.77875E-2</v>
      </c>
      <c r="O28" s="212">
        <f t="shared" si="6"/>
        <v>0.51916778493565552</v>
      </c>
      <c r="P28" s="33"/>
      <c r="Q28" s="392"/>
      <c r="R28" s="395"/>
      <c r="S28" s="393"/>
      <c r="T28" s="395"/>
      <c r="U28" s="393"/>
      <c r="V28" s="395"/>
      <c r="W28" s="393"/>
    </row>
    <row r="29" spans="1:23" x14ac:dyDescent="0.2">
      <c r="A29" s="210" t="s">
        <v>167</v>
      </c>
      <c r="B29" s="203">
        <f>(Benefits_Rec!$F$49)/3000000</f>
        <v>8.8663816703615145E-2</v>
      </c>
      <c r="C29" s="203">
        <f>(Benefits_Rec!$G$49)/3000000</f>
        <v>1.6565505109116274</v>
      </c>
      <c r="D29" s="203">
        <f>(Benefits_Rec!$F$50)/3000000</f>
        <v>9.8515351892905723E-2</v>
      </c>
      <c r="E29" s="203">
        <f>(Benefits_Rec!$G$50)/3000000</f>
        <v>1.840611678790697</v>
      </c>
      <c r="F29" s="203">
        <f>(Benefits_Rec!$F$51)/3000000</f>
        <v>0.1083668870821963</v>
      </c>
      <c r="G29" s="203">
        <f>(Benefits_Rec!$G$51)/3000000</f>
        <v>2.024672846669767</v>
      </c>
      <c r="H29" s="33"/>
      <c r="I29" s="210" t="s">
        <v>167</v>
      </c>
      <c r="J29" s="203">
        <f>J6+R6+B29</f>
        <v>0.26599145011084546</v>
      </c>
      <c r="K29" s="203">
        <f t="shared" ref="K29:O29" si="7">K6+S6+C29</f>
        <v>4.9696515327348827</v>
      </c>
      <c r="L29" s="203">
        <f t="shared" si="7"/>
        <v>0.29554605567871717</v>
      </c>
      <c r="M29" s="203">
        <f t="shared" si="7"/>
        <v>5.5218350363720905</v>
      </c>
      <c r="N29" s="203">
        <f t="shared" si="7"/>
        <v>0.32510066124658887</v>
      </c>
      <c r="O29" s="203">
        <f t="shared" si="7"/>
        <v>6.074018540009301</v>
      </c>
      <c r="P29" s="37"/>
      <c r="Q29" s="394"/>
      <c r="U29" s="393"/>
      <c r="V29" s="393"/>
      <c r="W29" s="393"/>
    </row>
    <row r="30" spans="1:23" x14ac:dyDescent="0.2">
      <c r="A30" s="27" t="s">
        <v>236</v>
      </c>
      <c r="B30" s="405">
        <f>Benefits_Env_Other!$AC$21/3000000</f>
        <v>1.7431404337074771E-4</v>
      </c>
      <c r="C30" s="406">
        <f>Benefits_Env_Other!$AC$20/3000000</f>
        <v>3.2567966092656364E-3</v>
      </c>
      <c r="D30" s="405">
        <f>Benefits_Env_Other!$AD$21/3000000</f>
        <v>8.4384121836686421E-2</v>
      </c>
      <c r="E30" s="406">
        <f>Benefits_Env_Other!$AD$20/3000000</f>
        <v>1.5765908274473399</v>
      </c>
      <c r="F30" s="405">
        <f>Benefits_Env_Other!$AE$21/3000000</f>
        <v>0.25797460419934248</v>
      </c>
      <c r="G30" s="406">
        <f>Benefits_Env_Other!$AE$20/3000000</f>
        <v>4.8198687838713479</v>
      </c>
      <c r="H30" s="33"/>
      <c r="I30" s="27" t="s">
        <v>236</v>
      </c>
      <c r="J30" s="35">
        <f>J7+R7+B30</f>
        <v>5.2294213011224312E-4</v>
      </c>
      <c r="K30" s="35">
        <f t="shared" ref="K30:O30" si="8">K7+S7+C30</f>
        <v>9.7703898277969083E-3</v>
      </c>
      <c r="L30" s="35">
        <f t="shared" si="8"/>
        <v>0.25315236551005926</v>
      </c>
      <c r="M30" s="35">
        <f t="shared" si="8"/>
        <v>4.7297724823420193</v>
      </c>
      <c r="N30" s="35">
        <f t="shared" si="8"/>
        <v>0.77392381259802745</v>
      </c>
      <c r="O30" s="35">
        <f t="shared" si="8"/>
        <v>14.459606351614044</v>
      </c>
      <c r="P30" s="37"/>
      <c r="U30" s="395"/>
      <c r="V30" s="395"/>
      <c r="W30" s="395"/>
    </row>
    <row r="31" spans="1:23" x14ac:dyDescent="0.2">
      <c r="A31" s="21" t="s">
        <v>20</v>
      </c>
      <c r="B31" s="29">
        <f t="shared" ref="B31:G31" si="9">SUM(B28:B30)</f>
        <v>9.5250630746985893E-2</v>
      </c>
      <c r="C31" s="29">
        <f t="shared" si="9"/>
        <v>1.7796152578906597</v>
      </c>
      <c r="D31" s="29">
        <f t="shared" si="9"/>
        <v>0.19002447372959214</v>
      </c>
      <c r="E31" s="29">
        <f t="shared" si="9"/>
        <v>3.5503224510933329</v>
      </c>
      <c r="F31" s="29">
        <f t="shared" si="9"/>
        <v>0.37560399128153876</v>
      </c>
      <c r="G31" s="29">
        <f t="shared" si="9"/>
        <v>7.0175975588529997</v>
      </c>
      <c r="H31" s="36"/>
      <c r="I31" s="21" t="s">
        <v>20</v>
      </c>
      <c r="J31" s="29">
        <f t="shared" ref="J31:O31" si="10">SUM(J28:J30)</f>
        <v>0.28575189224095771</v>
      </c>
      <c r="K31" s="29">
        <f t="shared" si="10"/>
        <v>5.3388457736719799</v>
      </c>
      <c r="L31" s="29">
        <f t="shared" si="10"/>
        <v>0.57007342118877635</v>
      </c>
      <c r="M31" s="29">
        <f t="shared" si="10"/>
        <v>10.650967353279999</v>
      </c>
      <c r="N31" s="29">
        <f t="shared" si="10"/>
        <v>1.1268119738446163</v>
      </c>
      <c r="O31" s="29">
        <f t="shared" si="10"/>
        <v>21.052792676559001</v>
      </c>
      <c r="P31" s="36"/>
      <c r="Q31" s="391"/>
      <c r="R31" s="384"/>
      <c r="S31" s="384"/>
      <c r="T31" s="384"/>
      <c r="U31" s="384"/>
      <c r="V31" s="384"/>
      <c r="W31" s="384"/>
    </row>
    <row r="32" spans="1:23" x14ac:dyDescent="0.2">
      <c r="H32" s="33"/>
      <c r="P32" s="37"/>
      <c r="Q32" s="392"/>
      <c r="R32" s="392"/>
      <c r="S32" s="392"/>
      <c r="T32" s="392"/>
      <c r="U32" s="392"/>
      <c r="V32" s="392"/>
      <c r="W32" s="392"/>
    </row>
    <row r="33" spans="1:23" x14ac:dyDescent="0.2">
      <c r="A33" s="200" t="s">
        <v>21</v>
      </c>
      <c r="B33" s="455" t="s">
        <v>8</v>
      </c>
      <c r="C33" s="456"/>
      <c r="D33" s="455" t="s">
        <v>6</v>
      </c>
      <c r="E33" s="456"/>
      <c r="F33" s="455" t="s">
        <v>7</v>
      </c>
      <c r="G33" s="456"/>
      <c r="H33" s="36"/>
      <c r="I33" s="200" t="s">
        <v>21</v>
      </c>
      <c r="J33" s="455" t="s">
        <v>8</v>
      </c>
      <c r="K33" s="456"/>
      <c r="L33" s="455" t="s">
        <v>6</v>
      </c>
      <c r="M33" s="456"/>
      <c r="N33" s="455" t="s">
        <v>7</v>
      </c>
      <c r="O33" s="456"/>
      <c r="P33" s="201"/>
      <c r="Q33" s="391"/>
      <c r="R33" s="389"/>
      <c r="S33" s="387"/>
      <c r="T33" s="389"/>
      <c r="U33" s="387"/>
      <c r="V33" s="389"/>
      <c r="W33" s="387"/>
    </row>
    <row r="34" spans="1:23" x14ac:dyDescent="0.2">
      <c r="A34" s="32" t="s">
        <v>169</v>
      </c>
      <c r="B34" s="48" t="s">
        <v>17</v>
      </c>
      <c r="C34" s="48" t="s">
        <v>18</v>
      </c>
      <c r="D34" s="48" t="s">
        <v>17</v>
      </c>
      <c r="E34" s="48" t="s">
        <v>18</v>
      </c>
      <c r="F34" s="48" t="s">
        <v>17</v>
      </c>
      <c r="G34" s="48" t="s">
        <v>18</v>
      </c>
      <c r="H34" s="38"/>
      <c r="I34" s="32" t="s">
        <v>169</v>
      </c>
      <c r="J34" s="48" t="s">
        <v>17</v>
      </c>
      <c r="K34" s="48" t="s">
        <v>18</v>
      </c>
      <c r="L34" s="48" t="s">
        <v>17</v>
      </c>
      <c r="M34" s="48" t="s">
        <v>18</v>
      </c>
      <c r="N34" s="48" t="s">
        <v>17</v>
      </c>
      <c r="O34" s="48" t="s">
        <v>18</v>
      </c>
      <c r="P34" s="202"/>
      <c r="Q34" s="392"/>
      <c r="R34" s="385"/>
      <c r="S34" s="385"/>
      <c r="T34" s="385"/>
      <c r="U34" s="385"/>
      <c r="V34" s="385"/>
      <c r="W34" s="385"/>
    </row>
    <row r="35" spans="1:23" x14ac:dyDescent="0.2">
      <c r="A35" s="25" t="s">
        <v>22</v>
      </c>
      <c r="B35" s="26">
        <f>(Costs_Capital!V13)/1000000</f>
        <v>0.10288892083150117</v>
      </c>
      <c r="C35" s="26">
        <f>(Costs_Capital!V12)/1000000</f>
        <v>1.9223252585698776</v>
      </c>
      <c r="D35" s="26">
        <f>(Costs_Capital!W13)/1000000</f>
        <v>0.12319868492683723</v>
      </c>
      <c r="E35" s="26">
        <f>(Costs_Capital!W12)/1000000</f>
        <v>2.3017827570113112</v>
      </c>
      <c r="F35" s="26">
        <f>(Costs_Capital!X13)/1000000</f>
        <v>0.20501386362447124</v>
      </c>
      <c r="G35" s="26">
        <f>(Costs_Capital!X12)/1000000</f>
        <v>3.8303767326681881</v>
      </c>
      <c r="H35" s="38"/>
      <c r="I35" s="25" t="s">
        <v>22</v>
      </c>
      <c r="J35" s="26">
        <f>J12+R12+B35</f>
        <v>0.30008819030622413</v>
      </c>
      <c r="K35" s="26">
        <f t="shared" ref="K35:O35" si="11">K12+S12+C35</f>
        <v>5.6066980133740643</v>
      </c>
      <c r="L35" s="26">
        <f t="shared" si="11"/>
        <v>0.39819665150378375</v>
      </c>
      <c r="M35" s="26">
        <f t="shared" si="11"/>
        <v>7.4397075494382197</v>
      </c>
      <c r="N35" s="26">
        <f t="shared" si="11"/>
        <v>0.82565073675726797</v>
      </c>
      <c r="O35" s="26">
        <f t="shared" si="11"/>
        <v>15.426046392542069</v>
      </c>
      <c r="P35" s="37"/>
      <c r="Q35" s="392"/>
      <c r="R35" s="396"/>
      <c r="S35" s="396"/>
      <c r="T35" s="396"/>
      <c r="U35" s="396"/>
      <c r="V35" s="396"/>
      <c r="W35" s="396"/>
    </row>
    <row r="36" spans="1:23" x14ac:dyDescent="0.2">
      <c r="A36" s="27" t="s">
        <v>23</v>
      </c>
      <c r="B36" s="205">
        <f>(Costs_O_and_M!$J$43)/3000000</f>
        <v>1.0200000000000001E-2</v>
      </c>
      <c r="C36" s="205">
        <f>(Costs_O_and_M!$J$45)/3000000</f>
        <v>0.19057171052968727</v>
      </c>
      <c r="D36" s="205">
        <f>(Costs_O_and_M!$K$43)/3000000</f>
        <v>1.1333333333333334E-2</v>
      </c>
      <c r="E36" s="205">
        <f>(Costs_O_and_M!$K$45)/3000000</f>
        <v>0.21174634503298587</v>
      </c>
      <c r="F36" s="205">
        <f>(Costs_O_and_M!$L$43)/3000000</f>
        <v>1.4733333333333333E-2</v>
      </c>
      <c r="G36" s="205">
        <f>(Costs_O_and_M!$L$45)/3000000</f>
        <v>0.27527024854288162</v>
      </c>
      <c r="H36" s="33"/>
      <c r="I36" s="27" t="s">
        <v>23</v>
      </c>
      <c r="J36" s="205">
        <f>J13+R13+B36</f>
        <v>3.0600000000000002E-2</v>
      </c>
      <c r="K36" s="205">
        <f t="shared" ref="K36:O36" si="12">K13+S13+C36</f>
        <v>0.57171513158906184</v>
      </c>
      <c r="L36" s="205">
        <f t="shared" si="12"/>
        <v>3.4000000000000002E-2</v>
      </c>
      <c r="M36" s="205">
        <f t="shared" si="12"/>
        <v>0.63523903509895763</v>
      </c>
      <c r="N36" s="205">
        <f t="shared" si="12"/>
        <v>4.4199999999999996E-2</v>
      </c>
      <c r="O36" s="205">
        <f t="shared" si="12"/>
        <v>0.82581074562864487</v>
      </c>
      <c r="P36" s="37"/>
      <c r="Q36" s="392"/>
      <c r="R36" s="393"/>
      <c r="S36" s="393"/>
      <c r="T36" s="393"/>
      <c r="U36" s="393"/>
      <c r="V36" s="393"/>
      <c r="W36" s="393"/>
    </row>
    <row r="37" spans="1:23" x14ac:dyDescent="0.2">
      <c r="A37" s="21" t="s">
        <v>24</v>
      </c>
      <c r="B37" s="28">
        <f t="shared" ref="B37:G37" si="13">SUM(B35:B36)</f>
        <v>0.11308892083150117</v>
      </c>
      <c r="C37" s="28">
        <f t="shared" si="13"/>
        <v>2.1128969690995647</v>
      </c>
      <c r="D37" s="28">
        <f t="shared" si="13"/>
        <v>0.13453201826017058</v>
      </c>
      <c r="E37" s="28">
        <f t="shared" si="13"/>
        <v>2.5135291020442971</v>
      </c>
      <c r="F37" s="28">
        <f t="shared" si="13"/>
        <v>0.21974719695780456</v>
      </c>
      <c r="G37" s="28">
        <f t="shared" si="13"/>
        <v>4.1056469812110699</v>
      </c>
      <c r="H37" s="36"/>
      <c r="I37" s="21" t="s">
        <v>24</v>
      </c>
      <c r="J37" s="28">
        <f t="shared" ref="J37:O37" si="14">SUM(J35:J36)</f>
        <v>0.33068819030622415</v>
      </c>
      <c r="K37" s="28">
        <f t="shared" si="14"/>
        <v>6.1784131449631259</v>
      </c>
      <c r="L37" s="28">
        <f t="shared" si="14"/>
        <v>0.43219665150378372</v>
      </c>
      <c r="M37" s="28">
        <f t="shared" si="14"/>
        <v>8.0749465845371766</v>
      </c>
      <c r="N37" s="28">
        <f t="shared" si="14"/>
        <v>0.86985073675726798</v>
      </c>
      <c r="O37" s="28">
        <f t="shared" si="14"/>
        <v>16.251857138170713</v>
      </c>
      <c r="P37" s="36"/>
      <c r="Q37" s="391"/>
      <c r="R37" s="386"/>
      <c r="S37" s="386"/>
      <c r="T37" s="386"/>
      <c r="U37" s="386"/>
      <c r="V37" s="386"/>
      <c r="W37" s="386"/>
    </row>
    <row r="38" spans="1:23" x14ac:dyDescent="0.2">
      <c r="Q38" s="392"/>
      <c r="R38" s="392"/>
      <c r="S38" s="392"/>
      <c r="T38" s="392"/>
      <c r="U38" s="392"/>
      <c r="V38" s="392"/>
      <c r="W38" s="392"/>
    </row>
    <row r="39" spans="1:23" x14ac:dyDescent="0.2">
      <c r="A39" s="21" t="s">
        <v>25</v>
      </c>
      <c r="B39" s="22"/>
      <c r="C39" s="22"/>
      <c r="D39" s="22"/>
      <c r="E39" s="22"/>
      <c r="F39" s="22"/>
      <c r="G39" s="22"/>
      <c r="H39" s="21"/>
      <c r="I39" s="21" t="s">
        <v>25</v>
      </c>
      <c r="J39" s="22"/>
      <c r="K39" s="22"/>
      <c r="L39" s="22"/>
      <c r="M39" s="22"/>
      <c r="N39" s="22"/>
      <c r="O39" s="22"/>
      <c r="P39" s="22"/>
      <c r="Q39" s="391"/>
      <c r="R39" s="391"/>
      <c r="S39" s="391"/>
      <c r="T39" s="391"/>
      <c r="U39" s="391"/>
      <c r="V39" s="391"/>
      <c r="W39" s="391"/>
    </row>
    <row r="40" spans="1:23" x14ac:dyDescent="0.2">
      <c r="A40" s="30"/>
      <c r="B40" s="452" t="s">
        <v>26</v>
      </c>
      <c r="C40" s="453"/>
      <c r="D40" s="454"/>
      <c r="I40" s="30"/>
      <c r="J40" s="452" t="s">
        <v>26</v>
      </c>
      <c r="K40" s="453"/>
      <c r="L40" s="454"/>
      <c r="Q40" s="392"/>
      <c r="R40" s="387"/>
      <c r="S40" s="390"/>
      <c r="T40" s="390"/>
      <c r="U40" s="392"/>
      <c r="V40" s="392"/>
      <c r="W40" s="392"/>
    </row>
    <row r="41" spans="1:23" x14ac:dyDescent="0.2">
      <c r="A41" s="31" t="s">
        <v>27</v>
      </c>
      <c r="B41" s="208" t="s">
        <v>8</v>
      </c>
      <c r="C41" s="208" t="s">
        <v>6</v>
      </c>
      <c r="D41" s="209" t="s">
        <v>7</v>
      </c>
      <c r="I41" s="31" t="s">
        <v>27</v>
      </c>
      <c r="J41" s="208" t="s">
        <v>8</v>
      </c>
      <c r="K41" s="208" t="s">
        <v>6</v>
      </c>
      <c r="L41" s="209" t="s">
        <v>7</v>
      </c>
      <c r="Q41" s="392"/>
      <c r="R41" s="387"/>
      <c r="S41" s="387"/>
      <c r="T41" s="387"/>
      <c r="U41" s="392"/>
      <c r="V41" s="392"/>
      <c r="W41" s="392"/>
    </row>
    <row r="42" spans="1:23" x14ac:dyDescent="0.2">
      <c r="A42" s="31" t="s">
        <v>8</v>
      </c>
      <c r="B42" s="256">
        <f>C31/C37</f>
        <v>0.84226315050707989</v>
      </c>
      <c r="C42" s="257">
        <f>E31/C37</f>
        <v>1.680310257913969</v>
      </c>
      <c r="D42" s="258">
        <f>G31/C37</f>
        <v>3.3213155499217879</v>
      </c>
      <c r="I42" s="31" t="s">
        <v>8</v>
      </c>
      <c r="J42" s="256">
        <f>K31/K37</f>
        <v>0.86411278242608414</v>
      </c>
      <c r="K42" s="257">
        <f>M31/K37</f>
        <v>1.7239001509575427</v>
      </c>
      <c r="L42" s="258">
        <f>O31/K37</f>
        <v>3.4074757033239234</v>
      </c>
      <c r="Q42" s="392"/>
      <c r="R42" s="388"/>
      <c r="S42" s="388"/>
      <c r="T42" s="388"/>
      <c r="U42" s="392"/>
      <c r="V42" s="392"/>
      <c r="W42" s="392"/>
    </row>
    <row r="43" spans="1:23" x14ac:dyDescent="0.2">
      <c r="A43" s="31" t="s">
        <v>6</v>
      </c>
      <c r="B43" s="259">
        <f>C31/E37</f>
        <v>0.70801458254184024</v>
      </c>
      <c r="C43" s="260">
        <f>E31/E37</f>
        <v>1.4124851183166305</v>
      </c>
      <c r="D43" s="261">
        <f>G31/E37</f>
        <v>2.7919301006483135</v>
      </c>
      <c r="I43" s="31" t="s">
        <v>6</v>
      </c>
      <c r="J43" s="259">
        <f>K31/M37</f>
        <v>0.66116174488329216</v>
      </c>
      <c r="K43" s="260">
        <f>M31/M37</f>
        <v>1.3190139701574841</v>
      </c>
      <c r="L43" s="261">
        <f>O31/M37</f>
        <v>2.6071742340529256</v>
      </c>
      <c r="Q43" s="392"/>
      <c r="R43" s="388"/>
      <c r="S43" s="388"/>
      <c r="T43" s="388"/>
      <c r="U43" s="392"/>
      <c r="V43" s="392"/>
      <c r="W43" s="392"/>
    </row>
    <row r="44" spans="1:23" x14ac:dyDescent="0.2">
      <c r="A44" s="34" t="s">
        <v>7</v>
      </c>
      <c r="B44" s="262">
        <f>C31/G37</f>
        <v>0.43345549825272967</v>
      </c>
      <c r="C44" s="263">
        <f>E31/G37</f>
        <v>0.86474128617021784</v>
      </c>
      <c r="D44" s="264">
        <f>G31/G37</f>
        <v>1.7092549824590551</v>
      </c>
      <c r="I44" s="34" t="s">
        <v>7</v>
      </c>
      <c r="J44" s="262">
        <f>K31/O37</f>
        <v>0.32850681176200108</v>
      </c>
      <c r="K44" s="263">
        <f>M31/O37</f>
        <v>0.65536924566387478</v>
      </c>
      <c r="L44" s="264">
        <f>O31/O37</f>
        <v>1.2954084260999525</v>
      </c>
      <c r="Q44" s="392"/>
      <c r="R44" s="388"/>
      <c r="S44" s="388"/>
      <c r="T44" s="388"/>
      <c r="U44" s="392"/>
      <c r="V44" s="392"/>
      <c r="W44" s="392"/>
    </row>
  </sheetData>
  <mergeCells count="35">
    <mergeCell ref="B40:D40"/>
    <mergeCell ref="J40:L40"/>
    <mergeCell ref="N26:O26"/>
    <mergeCell ref="B33:C33"/>
    <mergeCell ref="D33:E33"/>
    <mergeCell ref="F33:G33"/>
    <mergeCell ref="J33:K33"/>
    <mergeCell ref="L33:M33"/>
    <mergeCell ref="N33:O33"/>
    <mergeCell ref="B26:C26"/>
    <mergeCell ref="D26:E26"/>
    <mergeCell ref="F26:G26"/>
    <mergeCell ref="J26:K26"/>
    <mergeCell ref="L26:M26"/>
    <mergeCell ref="N10:O10"/>
    <mergeCell ref="B3:C3"/>
    <mergeCell ref="D3:E3"/>
    <mergeCell ref="F3:G3"/>
    <mergeCell ref="J3:K3"/>
    <mergeCell ref="L3:M3"/>
    <mergeCell ref="N3:O3"/>
    <mergeCell ref="B17:D17"/>
    <mergeCell ref="J17:L17"/>
    <mergeCell ref="B10:C10"/>
    <mergeCell ref="D10:E10"/>
    <mergeCell ref="F10:G10"/>
    <mergeCell ref="J10:K10"/>
    <mergeCell ref="L10:M10"/>
    <mergeCell ref="R17:T17"/>
    <mergeCell ref="R3:S3"/>
    <mergeCell ref="T3:U3"/>
    <mergeCell ref="V3:W3"/>
    <mergeCell ref="R10:S10"/>
    <mergeCell ref="T10:U10"/>
    <mergeCell ref="V10:W10"/>
  </mergeCells>
  <conditionalFormatting sqref="B19:D21">
    <cfRule type="cellIs" dxfId="14" priority="28" operator="equal">
      <formula>1</formula>
    </cfRule>
    <cfRule type="cellIs" dxfId="13" priority="29" operator="greaterThan">
      <formula>1</formula>
    </cfRule>
    <cfRule type="cellIs" dxfId="12" priority="30" operator="lessThan">
      <formula>1</formula>
    </cfRule>
  </conditionalFormatting>
  <conditionalFormatting sqref="J19:L21">
    <cfRule type="cellIs" dxfId="11" priority="25" operator="equal">
      <formula>1</formula>
    </cfRule>
    <cfRule type="cellIs" dxfId="10" priority="26" operator="greaterThan">
      <formula>1</formula>
    </cfRule>
    <cfRule type="cellIs" dxfId="9" priority="27" operator="lessThan">
      <formula>1</formula>
    </cfRule>
  </conditionalFormatting>
  <conditionalFormatting sqref="R19:T21">
    <cfRule type="cellIs" dxfId="8" priority="22" operator="equal">
      <formula>1</formula>
    </cfRule>
    <cfRule type="cellIs" dxfId="7" priority="23" operator="greaterThan">
      <formula>1</formula>
    </cfRule>
    <cfRule type="cellIs" dxfId="6" priority="24" operator="lessThan">
      <formula>1</formula>
    </cfRule>
  </conditionalFormatting>
  <conditionalFormatting sqref="B42:D44">
    <cfRule type="cellIs" dxfId="5" priority="16" operator="equal">
      <formula>1</formula>
    </cfRule>
    <cfRule type="cellIs" dxfId="4" priority="17" operator="greaterThan">
      <formula>1</formula>
    </cfRule>
    <cfRule type="cellIs" dxfId="3" priority="18" operator="lessThan">
      <formula>1</formula>
    </cfRule>
  </conditionalFormatting>
  <conditionalFormatting sqref="J42:L44">
    <cfRule type="cellIs" dxfId="2" priority="13" operator="equal">
      <formula>1</formula>
    </cfRule>
    <cfRule type="cellIs" dxfId="1" priority="14" operator="greaterThan">
      <formula>1</formula>
    </cfRule>
    <cfRule type="cellIs" dxfId="0" priority="15" operator="lessThan">
      <formula>1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Project_Assumptions</vt:lpstr>
      <vt:lpstr>Alternatives_Assumptions</vt:lpstr>
      <vt:lpstr>Benefits_FloodRisk</vt:lpstr>
      <vt:lpstr>Benefits_Rec</vt:lpstr>
      <vt:lpstr>Benefits_Env_Other</vt:lpstr>
      <vt:lpstr>Costs_O_and_M</vt:lpstr>
      <vt:lpstr>Costs_Capital</vt:lpstr>
      <vt:lpstr>BCA_Summary</vt:lpstr>
      <vt:lpstr>NPVHi_CapCost_Alt0</vt:lpstr>
      <vt:lpstr>NPVHi_CapCost_Alt1</vt:lpstr>
      <vt:lpstr>NPVHi_CapCost_Alt2</vt:lpstr>
      <vt:lpstr>NPVLow_CapCost_Alt0</vt:lpstr>
      <vt:lpstr>NPVLow_CapCost_Alt1</vt:lpstr>
      <vt:lpstr>NPVLow_CapCost_Alt2</vt:lpstr>
      <vt:lpstr>NPVMid_CapCost_Alt0</vt:lpstr>
      <vt:lpstr>NPVMid_CapCost_Alt1</vt:lpstr>
      <vt:lpstr>NPVMid_CapCost_Alt2</vt:lpstr>
    </vt:vector>
  </TitlesOfParts>
  <Manager/>
  <Company>Integrative Economics,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Birchard</dc:creator>
  <cp:keywords/>
  <dc:description/>
  <cp:lastModifiedBy>Scott Dusterhoff</cp:lastModifiedBy>
  <dcterms:created xsi:type="dcterms:W3CDTF">2015-03-21T03:23:14Z</dcterms:created>
  <dcterms:modified xsi:type="dcterms:W3CDTF">2017-02-14T19:26:47Z</dcterms:modified>
  <cp:category/>
</cp:coreProperties>
</file>